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FQZ/738/87t19P9uW5sGrWx8hz51CpjFs8P7CkrF5J4188/Gd4cFj1exkAL2t+DGTi+wFKq0iozzSO2hqlvLVA==" workbookSaltValue="RV1rCeFEAhCkyt2rhqlB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R32" i="20"/>
  <c r="AJ32" i="20"/>
  <c r="G30" i="14"/>
  <c r="G23" i="14"/>
  <c r="U18" i="11"/>
  <c r="AX32" i="20"/>
  <c r="Y32" i="20"/>
  <c r="L32" i="20"/>
  <c r="AG32" i="20"/>
  <c r="H32" i="20"/>
  <c r="T32" i="21"/>
  <c r="F32" i="20"/>
  <c r="AF32" i="20"/>
  <c r="G26" i="14"/>
  <c r="S32" i="20"/>
  <c r="K32" i="20"/>
  <c r="AQ32" i="21"/>
  <c r="O17" i="11"/>
  <c r="AE32" i="20"/>
  <c r="AZ32" i="20"/>
  <c r="O18" i="11"/>
  <c r="W32" i="20"/>
  <c r="E23" i="12" l="1"/>
  <c r="BF16" i="8"/>
  <c r="J16" i="7" s="1"/>
  <c r="F16" i="11"/>
  <c r="AQ16" i="11" s="1"/>
  <c r="AL21" i="11"/>
  <c r="L17" i="14"/>
  <c r="R8" i="9"/>
  <c r="BH19" i="16" s="1"/>
  <c r="R13" i="17"/>
  <c r="P13" i="14"/>
  <c r="R13" i="14" s="1"/>
  <c r="BG17" i="13"/>
  <c r="BK13" i="11"/>
  <c r="BH9" i="11"/>
  <c r="BU11" i="17"/>
  <c r="BU9" i="17"/>
  <c r="BV22" i="16"/>
  <c r="BL20" i="11"/>
  <c r="BK17" i="11"/>
  <c r="AQ12" i="21"/>
  <c r="S20" i="14"/>
  <c r="V20" i="14" s="1"/>
  <c r="P18" i="17"/>
  <c r="BK19" i="11"/>
  <c r="BF22" i="11"/>
  <c r="BM13" i="11"/>
  <c r="BL11" i="11"/>
  <c r="BL21" i="11"/>
  <c r="T18" i="16"/>
  <c r="BG21" i="11"/>
  <c r="BV28" i="16"/>
  <c r="BW13" i="20"/>
  <c r="BU29" i="17"/>
  <c r="BW11" i="20"/>
  <c r="BW28" i="20"/>
  <c r="S11" i="17"/>
  <c r="S25" i="17"/>
  <c r="P16" i="17"/>
  <c r="BF12" i="11"/>
  <c r="BH25" i="16"/>
  <c r="BK20" i="11"/>
  <c r="BJ10" i="11"/>
  <c r="Q16" i="17"/>
  <c r="BF16" i="11"/>
  <c r="BL22" i="11"/>
  <c r="BI22" i="11"/>
  <c r="BK10" i="11"/>
  <c r="L10" i="2"/>
  <c r="X21" i="20"/>
  <c r="L16" i="2"/>
  <c r="L18" i="2"/>
  <c r="X16" i="16"/>
  <c r="X23" i="16" s="1"/>
  <c r="L9" i="2"/>
  <c r="V25" i="16"/>
  <c r="BH11" i="16"/>
  <c r="BM29" i="11"/>
  <c r="BH19" i="11"/>
  <c r="BK9" i="11"/>
  <c r="BK16" i="11"/>
  <c r="V21" i="11"/>
  <c r="BJ29" i="11"/>
  <c r="BJ12" i="11"/>
  <c r="AZ13" i="11"/>
  <c r="V29" i="11"/>
  <c r="V22" i="11"/>
  <c r="AZ21" i="11"/>
  <c r="BM20" i="11"/>
  <c r="BJ28" i="11"/>
  <c r="BU28" i="17"/>
  <c r="BW9" i="20"/>
  <c r="BU21" i="17"/>
  <c r="BV17" i="16"/>
  <c r="BV25" i="16"/>
  <c r="X21" i="16"/>
  <c r="BW10" i="20"/>
  <c r="BU17" i="17"/>
  <c r="S22" i="17"/>
  <c r="S16" i="16"/>
  <c r="BL16" i="11"/>
  <c r="AZ25" i="11"/>
  <c r="AZ30" i="11" s="1"/>
  <c r="BH17" i="11"/>
  <c r="BH25" i="11"/>
  <c r="BI21" i="11"/>
  <c r="L28" i="2"/>
  <c r="L17" i="2"/>
  <c r="AA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BF23" i="13"/>
  <c r="AZ11" i="11"/>
  <c r="BV20" i="16"/>
  <c r="BU13" i="17"/>
  <c r="S21" i="17"/>
  <c r="BV11" i="16"/>
  <c r="BV21" i="16"/>
  <c r="BV13" i="16"/>
  <c r="BU25" i="17"/>
  <c r="AP18" i="20"/>
  <c r="BK18" i="11"/>
  <c r="R18" i="20"/>
  <c r="R23" i="20" s="1"/>
  <c r="BG9" i="11"/>
  <c r="BI16" i="11"/>
  <c r="BJ21" i="11"/>
  <c r="BJ23" i="11" s="1"/>
  <c r="BF29" i="11"/>
  <c r="BH16" i="11"/>
  <c r="T9" i="11"/>
  <c r="BM18" i="11"/>
  <c r="BH21" i="11"/>
  <c r="BF20" i="11"/>
  <c r="BU19" i="17"/>
  <c r="BW17" i="20"/>
  <c r="BH28"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<sst xmlns="http://schemas.openxmlformats.org/spreadsheetml/2006/main" count="2649" uniqueCount="1184">
  <si>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</si>
  <si>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</si>
  <si>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</si>
  <si>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</si>
  <si>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</si>
  <si>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</si>
  <si>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</si>
  <si>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</si>
  <si>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</si>
  <si>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</si>
  <si>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</si>
  <si>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</si>
  <si>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</si>
  <si>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</si>
  <si>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</si>
  <si>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</si>
  <si>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</si>
  <si>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</si>
  <si>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</si>
  <si>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</si>
  <si>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</si>
  <si>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</si>
  <si>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</si>
  <si>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</si>
  <si>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</si>
  <si>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</si>
  <si>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</si>
  <si>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</si>
  <si>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</si>
  <si>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</si>
  <si>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</si>
  <si>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</si>
  <si>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</si>
  <si>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</si>
  <si>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</si>
  <si>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</si>
  <si>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</si>
  <si>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</si>
  <si>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</si>
  <si>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</si>
  <si>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</si>
  <si>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</si>
  <si>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</si>
  <si>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</si>
  <si>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</si>
  <si>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</si>
  <si>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</si>
  <si>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</si>
  <si>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</si>
  <si>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</si>
  <si>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</si>
  <si>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</si>
  <si>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</si>
  <si>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</si>
  <si>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</si>
  <si>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</si>
  <si>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</si>
  <si>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</si>
  <si>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</si>
  <si>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</si>
  <si>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</si>
  <si>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</si>
  <si>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</si>
  <si>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</si>
  <si>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</si>
  <si>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</si>
  <si>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</si>
  <si>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</si>
  <si>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</si>
  <si>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</si>
  <si>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</si>
  <si>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</si>
  <si>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</si>
  <si>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</si>
  <si>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</si>
  <si>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</si>
  <si>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</si>
  <si>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</si>
  <si>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</si>
  <si>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</si>
  <si>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</si>
  <si>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</si>
  <si>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</si>
  <si>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</si>
  <si>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</si>
  <si>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</si>
  <si>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</si>
  <si>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</si>
  <si>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</si>
  <si>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</si>
  <si>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</si>
  <si>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</si>
  <si>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</si>
  <si>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</si>
  <si>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</si>
  <si>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</si>
  <si>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</si>
  <si>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</si>
  <si>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</si>
  <si>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</si>
  <si>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</si>
  <si>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</si>
  <si>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</si>
  <si>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</si>
  <si>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</si>
  <si>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</si>
  <si>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</si>
  <si>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</si>
  <si>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</si>
  <si>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</si>
  <si>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</si>
  <si>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</si>
  <si>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</si>
  <si>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</si>
  <si>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</si>
  <si>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</si>
  <si>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</si>
  <si>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</si>
  <si>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</si>
  <si>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</si>
  <si>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</si>
  <si>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</si>
  <si>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</si>
  <si>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</si>
  <si>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</si>
  <si>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</si>
  <si>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</si>
  <si>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</si>
  <si>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</si>
  <si>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</si>
  <si>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</si>
  <si>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</si>
  <si>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</si>
  <si>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</si>
  <si>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</si>
  <si>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</si>
  <si>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</si>
  <si>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</si>
  <si>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</si>
  <si>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</si>
  <si>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</si>
  <si>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</si>
  <si>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</si>
  <si>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</si>
  <si>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</si>
  <si>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</si>
  <si>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</si>
  <si>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</si>
  <si>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</si>
  <si>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</si>
  <si>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</si>
  <si>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</si>
  <si>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</si>
  <si>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</si>
  <si>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</si>
  <si>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</si>
  <si>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</si>
  <si>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</si>
  <si>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</si>
  <si>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</si>
  <si>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</si>
  <si>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</si>
  <si>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</si>
  <si>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</si>
  <si>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</si>
  <si>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</si>
  <si>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</si>
  <si>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</si>
  <si>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</si>
  <si>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</si>
  <si>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</si>
  <si>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</si>
  <si>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</si>
  <si>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</si>
  <si>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</si>
  <si>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</si>
  <si>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</si>
  <si>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</si>
  <si>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</si>
  <si>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</si>
  <si>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</si>
  <si>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</si>
  <si>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</si>
  <si>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</si>
  <si>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</si>
  <si>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</si>
  <si>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</si>
  <si>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</si>
  <si>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</si>
  <si>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</si>
  <si>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</si>
  <si>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</si>
  <si>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</si>
  <si>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</si>
  <si>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</si>
  <si>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</si>
  <si>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</si>
  <si>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</si>
  <si>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</si>
  <si>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</si>
  <si>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</si>
  <si>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</si>
  <si>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</si>
  <si>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</si>
  <si>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</si>
  <si>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</si>
  <si>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</si>
  <si>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</si>
  <si>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</si>
  <si>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</si>
  <si>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</si>
  <si>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</si>
  <si>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</si>
  <si>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</si>
  <si>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</si>
  <si>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</si>
  <si>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</si>
  <si>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</si>
  <si>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</si>
  <si>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</si>
  <si>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</si>
  <si>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</si>
  <si>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</si>
  <si>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</si>
  <si>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</si>
  <si>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</si>
  <si>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</si>
  <si>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</si>
  <si>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</si>
  <si>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</si>
  <si>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</si>
  <si>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</si>
  <si>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</si>
  <si>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</si>
  <si>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</si>
  <si>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</si>
  <si>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</si>
  <si>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</si>
  <si>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</si>
  <si>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</si>
  <si>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</si>
  <si>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</si>
  <si>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</si>
  <si>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</si>
  <si>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</si>
  <si>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</si>
  <si>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</si>
  <si>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</si>
  <si>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</si>
  <si>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</si>
  <si>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</si>
  <si>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</si>
  <si>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</si>
  <si>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</si>
  <si>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</si>
  <si>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</si>
  <si>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</si>
  <si>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</si>
  <si>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</si>
  <si>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</si>
  <si>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</si>
  <si>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</si>
  <si>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</si>
  <si>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</si>
  <si>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</si>
  <si>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</si>
  <si>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</si>
  <si>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</si>
  <si>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</si>
  <si>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</si>
  <si>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</si>
  <si>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</si>
  <si>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</si>
  <si>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</si>
  <si>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</si>
  <si>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</si>
  <si>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</si>
  <si>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</si>
  <si>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</si>
  <si>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</si>
  <si>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</si>
  <si>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</si>
  <si>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</si>
  <si>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</si>
  <si>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</si>
  <si>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</si>
  <si>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</si>
  <si>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</si>
  <si>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</si>
  <si>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</si>
  <si>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</si>
  <si>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</si>
  <si>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</si>
  <si>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</si>
  <si>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</si>
  <si>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</si>
  <si>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</si>
  <si>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</si>
  <si>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</si>
  <si>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</si>
  <si>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</si>
  <si>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</si>
  <si>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</si>
  <si>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</si>
  <si>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</si>
  <si>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</si>
  <si>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</si>
  <si>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</si>
  <si>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</si>
  <si>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</si>
  <si>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</si>
  <si>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</si>
  <si>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</si>
  <si>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</si>
  <si>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</si>
  <si>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</si>
  <si>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</si>
  <si>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</si>
  <si>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</si>
  <si>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</si>
  <si>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</si>
  <si>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</si>
  <si>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</si>
  <si>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</si>
  <si>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</si>
  <si>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</si>
  <si>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</si>
  <si>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</si>
  <si>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</si>
  <si>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</si>
  <si>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</si>
  <si>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</si>
  <si>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</si>
  <si>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</si>
  <si>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</si>
  <si>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</si>
  <si>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</si>
  <si>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</si>
  <si>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</si>
  <si>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</si>
  <si>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</si>
  <si>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</si>
  <si>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</si>
  <si>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</si>
  <si>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</si>
  <si>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</si>
  <si>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</si>
  <si>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</si>
  <si>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</si>
  <si>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</si>
  <si>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</si>
  <si>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</si>
  <si>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</si>
  <si>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</si>
  <si>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</si>
  <si>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</si>
  <si>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</si>
  <si>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</si>
  <si>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</si>
  <si>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</si>
  <si>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</si>
  <si>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</si>
  <si>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</si>
  <si>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</si>
  <si>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</si>
  <si>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</si>
  <si>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</si>
  <si>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</si>
  <si>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</si>
  <si>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</si>
  <si>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</si>
  <si>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</si>
  <si>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</si>
  <si>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</si>
  <si>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</si>
  <si>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</si>
  <si>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</si>
  <si>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</si>
  <si>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</si>
  <si>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</si>
  <si>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</si>
  <si>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</si>
  <si>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</si>
  <si>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</si>
  <si>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</si>
  <si>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</si>
  <si>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</si>
  <si>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</si>
  <si>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</si>
  <si>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</si>
  <si>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</si>
  <si>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</si>
  <si>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</si>
  <si>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</si>
  <si>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</si>
  <si>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</si>
  <si>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</si>
  <si>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</si>
  <si>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</si>
  <si>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</si>
  <si>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</si>
  <si>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</si>
  <si>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</si>
  <si>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</si>
  <si>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</si>
  <si>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</si>
  <si>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</si>
  <si>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</si>
  <si>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</si>
  <si>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</si>
  <si>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</si>
  <si>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</si>
  <si>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</si>
  <si>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</si>
  <si>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</si>
  <si>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</si>
  <si>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</si>
  <si>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</si>
  <si>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</si>
  <si>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</si>
  <si>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</si>
  <si>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</si>
  <si>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</si>
  <si>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</si>
  <si>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</si>
  <si>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</si>
  <si>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</si>
  <si>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</si>
  <si>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</si>
  <si>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</si>
  <si>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</si>
  <si>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</si>
  <si>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</si>
  <si>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</si>
  <si>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</si>
  <si>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</si>
  <si>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</si>
  <si>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</si>
  <si>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</si>
  <si>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</si>
  <si>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</si>
  <si>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</si>
  <si>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</si>
  <si>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</si>
  <si>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</si>
  <si>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</si>
  <si>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</si>
  <si>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</si>
  <si>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</si>
  <si>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</si>
  <si>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</si>
  <si>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</si>
  <si>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</si>
  <si>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</si>
  <si>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</si>
  <si>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</si>
  <si>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</si>
  <si>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</si>
  <si>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</si>
  <si>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</si>
  <si>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</si>
  <si>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</si>
  <si>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</si>
  <si>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</si>
  <si>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</si>
  <si>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</si>
  <si>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</si>
  <si>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</si>
  <si>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</si>
  <si>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</si>
  <si>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</si>
  <si>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</si>
  <si>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</si>
  <si>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</si>
  <si>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</si>
  <si>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</si>
  <si>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</si>
  <si>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</si>
  <si>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</si>
  <si>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</si>
  <si>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</si>
  <si>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</si>
  <si>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</si>
  <si>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</si>
  <si>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</si>
  <si>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</si>
  <si>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</si>
  <si>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</si>
  <si>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</si>
  <si>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</si>
  <si>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</si>
  <si>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</si>
  <si>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</si>
  <si>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</si>
  <si>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</si>
  <si>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</si>
  <si>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</si>
  <si>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</si>
  <si>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</si>
  <si>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</si>
  <si>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</si>
  <si>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</si>
  <si>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</si>
  <si>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</si>
  <si>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</si>
  <si>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</si>
  <si>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</si>
  <si>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</si>
  <si>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</si>
  <si>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</si>
  <si>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</si>
  <si>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</si>
  <si>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</si>
  <si>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</si>
  <si>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</si>
  <si>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</si>
  <si>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</si>
  <si>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</si>
  <si>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</si>
  <si>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</si>
  <si>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</si>
  <si>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</si>
  <si>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</si>
  <si>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</si>
  <si>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</si>
  <si>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</si>
  <si>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</si>
  <si>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</si>
  <si>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</si>
  <si>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</si>
  <si>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</si>
  <si>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</si>
  <si>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</si>
  <si>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</si>
  <si>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</si>
  <si>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</si>
  <si>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</si>
  <si>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</si>
  <si>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</si>
  <si>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</si>
  <si>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</si>
  <si>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</si>
  <si>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</si>
  <si>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</si>
  <si>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</si>
  <si>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</si>
  <si>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</si>
  <si>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</si>
  <si>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</si>
  <si>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</si>
  <si>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</si>
  <si>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</si>
  <si>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</si>
  <si>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</si>
  <si>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</si>
  <si>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</si>
  <si>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</si>
  <si>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</si>
  <si>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</si>
  <si>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</si>
  <si>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</si>
  <si>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</si>
  <si>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</si>
  <si>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</si>
  <si>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</si>
  <si>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</si>
  <si>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</si>
  <si>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</si>
  <si>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</si>
  <si>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</si>
  <si>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</si>
  <si>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</si>
  <si>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</si>
  <si>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</si>
  <si>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</si>
  <si>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</si>
  <si>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</si>
  <si>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</si>
  <si>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</si>
  <si>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</si>
  <si>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</si>
  <si>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</si>
  <si>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</si>
  <si>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</si>
  <si>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</si>
  <si>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</si>
  <si>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</si>
  <si>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</si>
  <si>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</si>
  <si>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</si>
  <si>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</si>
  <si>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</si>
  <si>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</si>
  <si>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</si>
  <si>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</si>
  <si>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</si>
  <si>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</si>
  <si>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</si>
  <si>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</si>
  <si>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</si>
  <si>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</si>
  <si>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</si>
  <si>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</si>
  <si>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</si>
  <si>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</si>
  <si>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</si>
  <si>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</si>
  <si>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</si>
  <si>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</si>
  <si>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</si>
  <si>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</si>
  <si>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</si>
  <si>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</si>
  <si>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</si>
  <si>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</si>
  <si>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</si>
  <si>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</si>
  <si>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</si>
  <si>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</si>
  <si>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</si>
  <si>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</si>
  <si>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</si>
  <si>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</si>
  <si>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</si>
  <si>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</si>
  <si>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</si>
  <si>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</si>
  <si>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</si>
  <si>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</si>
  <si>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</si>
  <si>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</si>
  <si>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</si>
  <si>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</si>
  <si>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</si>
  <si>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</si>
  <si>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</si>
  <si>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</si>
  <si>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</si>
  <si>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</si>
  <si>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</si>
  <si>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</si>
  <si>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</si>
  <si>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</si>
  <si>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</si>
  <si>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</si>
  <si>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</si>
  <si>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</si>
  <si>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</si>
  <si>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</si>
  <si>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</si>
  <si>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</si>
  <si>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</si>
  <si>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</si>
  <si>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</si>
  <si>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</si>
  <si>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</si>
  <si>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</si>
  <si>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</si>
  <si>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</si>
  <si>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</si>
  <si>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</si>
  <si>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</si>
  <si>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</si>
  <si>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</si>
  <si>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</si>
  <si>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</si>
  <si>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</si>
  <si>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</si>
  <si>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</si>
  <si>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</si>
  <si>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</si>
  <si>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</si>
  <si>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</si>
  <si>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</si>
  <si>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</si>
  <si>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</si>
  <si>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</si>
  <si>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</si>
  <si>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</si>
  <si>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</si>
  <si>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</si>
  <si>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</si>
  <si>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</si>
  <si>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</si>
  <si>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</si>
  <si>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</si>
  <si>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</si>
  <si>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</si>
  <si>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</si>
  <si>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</si>
  <si>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</si>
  <si>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</si>
  <si>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</si>
  <si>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</si>
  <si>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</si>
  <si>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</si>
  <si>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</si>
  <si>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</si>
  <si>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</si>
  <si>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</si>
  <si>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</si>
  <si>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</si>
  <si>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</si>
  <si>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</si>
  <si>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</si>
  <si>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</si>
  <si>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</si>
  <si>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</si>
  <si>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</si>
  <si>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</si>
  <si>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</si>
  <si>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</si>
  <si>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</si>
  <si>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</si>
  <si>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</si>
  <si>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</si>
  <si>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</si>
  <si>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</si>
  <si>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</si>
  <si>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</si>
  <si>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</si>
  <si>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</si>
  <si>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</si>
  <si>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</si>
  <si>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</si>
  <si>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</si>
  <si>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</si>
  <si>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</si>
  <si>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</si>
  <si>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</si>
  <si>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</si>
  <si>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</si>
  <si>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</si>
  <si>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</si>
  <si>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</si>
  <si>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</si>
  <si>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</si>
  <si>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</si>
  <si>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</si>
  <si>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</si>
  <si>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</si>
  <si>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</si>
  <si>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</si>
  <si>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</si>
  <si>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</si>
  <si>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</si>
  <si>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</si>
  <si>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</si>
  <si>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</si>
  <si>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</si>
  <si>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</si>
  <si>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</si>
  <si>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</si>
  <si>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</si>
  <si>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</si>
  <si>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</si>
  <si>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</si>
  <si>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</si>
  <si>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</si>
  <si>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</si>
  <si>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</si>
  <si>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</si>
  <si>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</si>
  <si>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</si>
  <si>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</si>
  <si>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</si>
  <si>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</si>
  <si>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</si>
  <si>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</si>
  <si>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</si>
  <si>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</si>
  <si>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</si>
  <si>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</si>
  <si>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</si>
  <si>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</si>
  <si>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</si>
  <si>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</si>
  <si>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</si>
  <si>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</si>
  <si>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</si>
  <si>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</si>
  <si>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</si>
  <si>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</si>
  <si>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</si>
  <si>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</si>
  <si>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</si>
  <si>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</si>
  <si>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</si>
  <si>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</si>
  <si>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</si>
  <si>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</si>
  <si>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</si>
  <si>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</si>
  <si>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</si>
  <si>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</si>
  <si>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</si>
  <si>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</si>
  <si>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</si>
  <si>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</si>
  <si>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</si>
  <si>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</si>
  <si>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</si>
  <si>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</si>
  <si>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</si>
  <si>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</si>
  <si>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</si>
  <si>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</si>
  <si>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</si>
  <si>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</si>
  <si>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</si>
  <si>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</si>
  <si>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</si>
  <si>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</si>
  <si>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</si>
  <si>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</si>
  <si>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</si>
  <si>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</si>
  <si>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</si>
  <si>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</si>
  <si>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</si>
  <si>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</si>
  <si>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</si>
  <si>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</si>
  <si>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</si>
  <si>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</si>
  <si>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</si>
  <si>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</si>
  <si>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</si>
  <si>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</si>
  <si>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</si>
  <si>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</si>
  <si>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</si>
  <si>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</si>
  <si>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</si>
  <si>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</si>
  <si>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</si>
  <si>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</si>
  <si>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</si>
  <si>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</si>
  <si>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</si>
  <si>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</si>
  <si>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</si>
  <si>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</si>
  <si>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</si>
  <si>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</si>
  <si>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</si>
  <si>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</si>
  <si>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</si>
  <si>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</si>
  <si>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</si>
  <si>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</si>
  <si>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</si>
  <si>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</si>
  <si>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</si>
  <si>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</si>
  <si>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</si>
  <si>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</si>
  <si>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</si>
  <si>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</si>
  <si>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</si>
  <si>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</si>
  <si>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</si>
  <si>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</si>
  <si>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</si>
  <si>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</si>
  <si>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</si>
  <si>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</si>
  <si>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</si>
  <si>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</si>
  <si>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</si>
  <si>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</si>
  <si>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</si>
  <si>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</si>
  <si>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</si>
  <si>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</si>
  <si>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</si>
  <si>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</si>
  <si>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</si>
  <si>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</si>
  <si>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</si>
  <si>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</si>
  <si>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</si>
  <si>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</si>
  <si>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</si>
  <si>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</si>
  <si>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</si>
  <si>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</si>
  <si>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</si>
  <si>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</si>
  <si>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</si>
  <si>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</si>
  <si>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</si>
  <si>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</si>
  <si>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</si>
  <si>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</si>
  <si>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</si>
  <si>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</si>
  <si>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</si>
  <si>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</si>
  <si>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</si>
  <si>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</si>
  <si>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</si>
  <si>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</si>
  <si>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</si>
  <si>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</si>
  <si>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</si>
  <si>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</si>
  <si>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</si>
  <si>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</si>
  <si>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</si>
  <si>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</si>
  <si>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</si>
  <si>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</si>
  <si>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</si>
  <si>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</si>
  <si>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</si>
  <si>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</si>
  <si>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</si>
  <si>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</si>
  <si>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</si>
  <si>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</si>
  <si>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</si>
  <si>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</si>
  <si>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</si>
  <si>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</si>
  <si>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</si>
  <si>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</si>
  <si>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</si>
  <si>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</si>
  <si>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</si>
  <si>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</si>
  <si>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</si>
  <si>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</si>
  <si>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</si>
  <si>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</si>
  <si>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</si>
  <si>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</si>
  <si>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</si>
  <si>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</si>
  <si>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</si>
  <si>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</si>
  <si>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</si>
  <si>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</si>
  <si>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</si>
  <si>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</si>
  <si>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</si>
  <si>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</si>
  <si>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</si>
  <si>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</si>
  <si>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</si>
  <si>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</si>
  <si>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</si>
  <si>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</si>
  <si>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</si>
  <si>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</si>
  <si>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</si>
  <si>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</si>
  <si>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</si>
  <si>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</si>
  <si>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</si>
  <si>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</si>
  <si>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</si>
  <si>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</si>
  <si>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</si>
  <si>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</si>
  <si>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</si>
  <si>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</si>
  <si>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</si>
  <si>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</si>
  <si>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</si>
  <si>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</si>
  <si>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</si>
  <si>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</si>
  <si>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</si>
  <si>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</si>
  <si>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</si>
  <si>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</si>
  <si>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</si>
  <si>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</si>
  <si>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</si>
  <si>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</si>
  <si>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</si>
  <si>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</si>
  <si>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</si>
  <si>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</si>
  <si>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</si>
  <si>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</si>
  <si>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</si>
  <si>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</si>
  <si>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</si>
  <si>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</si>
  <si>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</si>
  <si>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</si>
  <si>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</si>
  <si>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</si>
  <si>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</si>
  <si>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</si>
  <si>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</si>
  <si>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</si>
  <si>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</si>
  <si>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</si>
  <si>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</si>
  <si>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</si>
  <si>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</si>
  <si>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</si>
  <si>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</si>
  <si>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</si>
  <si>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</si>
  <si>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</si>
  <si>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</si>
  <si>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</si>
  <si>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</si>
  <si>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</si>
  <si>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</si>
  <si>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</si>
  <si>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</si>
  <si>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</si>
  <si>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</si>
  <si>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</si>
  <si>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</si>
  <si>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</si>
  <si>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</si>
  <si>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</si>
  <si>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</si>
  <si>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</si>
  <si>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</si>
  <si>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</si>
  <si>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</si>
  <si>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</si>
  <si>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</si>
  <si>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</si>
  <si>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</si>
  <si>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</si>
  <si>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</si>
  <si>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</si>
  <si>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</si>
  <si>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</si>
  <si>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</si>
  <si>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</si>
  <si>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</si>
  <si>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</si>
  <si>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</si>
  <si>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</si>
  <si>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</si>
  <si>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</si>
  <si>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</si>
  <si>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</si>
  <si>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</si>
  <si>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</si>
  <si>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</si>
  <si>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</si>
  <si>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</si>
  <si>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</si>
  <si>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</si>
  <si>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</si>
  <si>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</si>
  <si>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</si>
  <si>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</si>
  <si>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</si>
  <si>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</si>
  <si>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</si>
  <si>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</si>
  <si>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</si>
  <si>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</si>
  <si>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</si>
  <si>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</si>
  <si>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</si>
  <si>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</si>
  <si>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</si>
  <si>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</si>
  <si>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</si>
  <si>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</si>
  <si>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</si>
  <si>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</si>
  <si>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</si>
  <si>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</si>
  <si>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</si>
  <si>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</si>
  <si>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</si>
  <si>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</si>
  <si>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</si>
  <si>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</si>
  <si>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</si>
  <si>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</si>
  <si>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</si>
  <si>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</si>
  <si>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</si>
  <si>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</si>
  <si>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</si>
  <si>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</si>
  <si>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</si>
  <si>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</si>
  <si>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</si>
  <si>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</si>
  <si>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</si>
  <si>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</si>
  <si>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</si>
  <si>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</si>
  <si>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</si>
  <si>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</si>
  <si>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</si>
  <si>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</si>
  <si>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</si>
  <si>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</si>
  <si>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</si>
  <si>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</si>
  <si>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</si>
  <si>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</si>
  <si>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</si>
  <si>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</si>
  <si>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</si>
  <si>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</si>
  <si>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</si>
  <si>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</si>
  <si>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</si>
  <si>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</si>
  <si>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</si>
  <si>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</si>
  <si>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</si>
  <si>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</si>
  <si>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</si>
  <si>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</si>
  <si>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</si>
  <si>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</si>
  <si>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</si>
  <si>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</si>
  <si>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</si>
  <si>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</si>
  <si>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</si>
  <si>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</si>
  <si>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</si>
  <si>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</si>
  <si>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</si>
  <si>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</si>
  <si>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</si>
  <si>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</si>
  <si>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</si>
  <si>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</si>
  <si>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</si>
  <si>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</si>
  <si>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</si>
  <si>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</si>
  <si>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</si>
  <si>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</si>
  <si>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</si>
  <si>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</si>
  <si>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</si>
  <si>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</si>
  <si>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</si>
  <si>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</si>
  <si>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</si>
  <si>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</si>
  <si>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</si>
  <si>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</si>
  <si>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</si>
  <si>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</si>
  <si>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</si>
  <si>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</si>
  <si>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</si>
  <si>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</si>
  <si>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</si>
  <si>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</si>
  <si>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</si>
  <si>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</si>
  <si>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</si>
  <si>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</si>
  <si>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</si>
  <si>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</si>
  <si>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</si>
  <si>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</si>
  <si>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</si>
  <si>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</si>
  <si>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</si>
  <si>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</si>
  <si>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</si>
  <si>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</si>
  <si>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</si>
  <si>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</si>
  <si>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</si>
  <si>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</si>
  <si>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</si>
  <si>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</si>
  <si>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LOGROÑO</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</si>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</sst>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3</v>
      </c>
      <c r="E5" s="418"/>
      <c r="F5" s="3"/>
      <c r="H5" t="s">
        <v>542</v>
      </c>
      <c r="Q5" s="391">
        <v>3</v>
      </c>
      <c r="R5" s="391">
        <v>2</v>
      </c>
      <c r="S5" t="b">
        <f>AND(Q5&gt;=TrimIni,Q5&lt;=TrimFin)</f>
        <v>1</v>
      </c>
    </row>
    <row r="6" spans="1:19" ht="15">
      <c r="A6" s="419"/>
      <c r="B6" s="418"/>
      <c r="C6" s="416" t="s">
        <v>274</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1178</v>
      </c>
      <c r="B9" s="421" t="s">
        <v>1179</v>
      </c>
      <c r="C9" s="418"/>
      <c r="D9" s="418"/>
      <c r="E9" s="427"/>
      <c r="F9" s="3"/>
    </row>
    <row r="10" spans="1:19">
      <c r="A10" s="426" t="s">
        <v>1180</v>
      </c>
      <c r="B10" s="418" t="s">
        <v>1179</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57rNKpdGvqNlGZPN2LyxtCz7UXCTPhOpA5has75kfvTwwz+z4ghjQijN604n7/oSEAbB23gfuOluRsAeOr+RQ==" saltValue="buedmdNfrcwriiNC/jnn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LA RIOJA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3 al 3</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26.653518948182523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150</v>
      </c>
      <c r="D10" s="239">
        <f>IF(ISNUMBER(Datos!I10),Datos!I10," - ")</f>
        <v>150</v>
      </c>
      <c r="E10" s="240">
        <f>IF(ISNUMBER(Datos!J10),Datos!J10," - ")</f>
        <v>38</v>
      </c>
      <c r="F10" s="240">
        <f>IF(ISNUMBER(Datos!K10),Datos!K10," - ")</f>
        <v>23</v>
      </c>
      <c r="G10" s="1390" t="str">
        <f>IF(Datos!E10&lt;&gt;"",Datos!E10,Datos!D10)</f>
        <v>37</v>
      </c>
      <c r="H10" s="241">
        <f>IF(ISNUMBER(Datos!L10),Datos!L10," - ")</f>
        <v>165</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78.913043478260875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20.811557788944722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150</v>
      </c>
      <c r="D14" s="1407">
        <f>SUBTOTAL(9,D9:D13)</f>
        <v>150</v>
      </c>
      <c r="E14" s="1408">
        <f>SUBTOTAL(9,E9:E13)</f>
        <v>38</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1697</v>
      </c>
      <c r="D16" s="239">
        <f>IF(ISNUMBER(IF(D_I="SI",Datos!I16,Datos!I16+Datos!AC16)),IF(D_I="SI",Datos!I16,Datos!I16+Datos!AC16)," - ")</f>
        <v>1760</v>
      </c>
      <c r="E16" s="240">
        <f>IF(ISNUMBER(IF(D_I="SI",Datos!J16,Datos!J16+Datos!AD16)),IF(D_I="SI",Datos!J16,Datos!J16+Datos!AD16)," - ")</f>
        <v>1577</v>
      </c>
      <c r="F16" s="240">
        <f>IF(ISNUMBER(IF(D_I="SI",Datos!K16,Datos!K16+Datos!AE16)),IF(D_I="SI",Datos!K16,Datos!K16+Datos!AE16)," - ")</f>
        <v>1254</v>
      </c>
      <c r="G16" s="1390" t="str">
        <f>IF(Datos!E16&lt;&gt;"",Datos!E16,Datos!D16)</f>
        <v>03</v>
      </c>
      <c r="H16" s="241">
        <f>IF(ISNUMBER(IF(D_I="SI",Datos!L16,Datos!L16+Datos!AF16)),IF(D_I="SI",Datos!L16,Datos!L16+Datos!AF16)," - ")</f>
        <v>2020</v>
      </c>
      <c r="I16" s="1400" t="str">
        <f>IF(ISNUMBER(Datos!AS16/Datos!BM16),Datos!AS16/Datos!BM16," - ")</f>
        <v xml:space="preserve"> - </v>
      </c>
      <c r="J16" s="1401">
        <f>IF(ISNUMBER(Datos!BY16/Datos!CN16),Datos!BY16/Datos!CN16," - ")</f>
        <v>0</v>
      </c>
      <c r="K16" s="244">
        <f t="shared" ref="K16:K22" si="3">IF(ISNUMBER((E16-F16)/C16),(E16-F16)/C16," - ")</f>
        <v>0.19033588685916322</v>
      </c>
      <c r="L16" s="1402">
        <f>IF(ISNUMBER(NºAsuntos!I16/NºAsuntos!G16),(NºAsuntos!I16/NºAsuntos!G16)*11," - ")</f>
        <v>17.719298245614034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223</v>
      </c>
      <c r="D18" s="239">
        <f>IF(ISNUMBER(IF(D_I="SI",Datos!I18,Datos!I18+Datos!AC18)),IF(D_I="SI",Datos!I18,Datos!I18+Datos!AC18)," - ")</f>
        <v>223</v>
      </c>
      <c r="E18" s="240">
        <f>IF(ISNUMBER(IF(D_I="SI",Datos!J18,Datos!J18+Datos!AD18)),IF(D_I="SI",Datos!J18,Datos!J18+Datos!AD18)," - ")</f>
        <v>225</v>
      </c>
      <c r="F18" s="240">
        <f>IF(ISNUMBER(IF(D_I="SI",Datos!K18,Datos!K18+Datos!AE18)),IF(D_I="SI",Datos!K18,Datos!K18+Datos!AE18)," - ")</f>
        <v>203</v>
      </c>
      <c r="G18" s="1390" t="str">
        <f>IF(Datos!E18&lt;&gt;"",Datos!E18,Datos!D18)</f>
        <v>37</v>
      </c>
      <c r="H18" s="241">
        <f>IF(ISNUMBER(IF(D_I="SI",Datos!L18,Datos!L18+Datos!AF18)),IF(D_I="SI",Datos!L18,Datos!L18+Datos!AF18)," - ")</f>
        <v>245</v>
      </c>
      <c r="I18" s="1400" t="str">
        <f>IF(ISNUMBER(Datos!AS18/Datos!BM18),Datos!AS18/Datos!BM18," - ")</f>
        <v xml:space="preserve"> - </v>
      </c>
      <c r="J18" s="1401" t="str">
        <f>IF(ISNUMBER((Datos!BY18+Datos!BZ18)/Datos!CN18),(Datos!BY18+Datos!BZ18)/Datos!CN18," - ")</f>
        <v xml:space="preserve"> - </v>
      </c>
      <c r="K18" s="244">
        <f t="shared" si="3"/>
        <v>9.8654708520179366E-2</v>
      </c>
      <c r="L18" s="1402">
        <f>IF(ISNUMBER(NºAsuntos!I18/NºAsuntos!G18),(NºAsuntos!I18/NºAsuntos!G18)*11," - ")</f>
        <v>13.275862068965516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f t="shared" si="2"/>
        <v>241</v>
      </c>
      <c r="D20" s="239">
        <f>IF(ISNUMBER(Datos!I20),Datos!I20," - ")</f>
        <v>241</v>
      </c>
      <c r="E20" s="240">
        <f>IF(ISNUMBER(Datos!J20),Datos!J20," - ")</f>
        <v>180</v>
      </c>
      <c r="F20" s="240">
        <f>IF(ISNUMBER(Datos!K20),Datos!K20," - ")</f>
        <v>179</v>
      </c>
      <c r="G20" s="1390" t="str">
        <f>IF(Datos!E20&lt;&gt;"",Datos!E20,Datos!D20)</f>
        <v>08</v>
      </c>
      <c r="H20" s="241">
        <f>IF(ISNUMBER(Datos!L20),Datos!L20," - ")</f>
        <v>242</v>
      </c>
      <c r="I20" s="1400" t="str">
        <f>IF(ISNUMBER(Datos!AS20/Datos!BM20),Datos!AS20/Datos!BM20," - ")</f>
        <v xml:space="preserve"> - </v>
      </c>
      <c r="J20" s="1401">
        <f>IF(ISNUMBER(Datos!BY20/Datos!CN20),Datos!BY20/Datos!CN20," - ")</f>
        <v>0</v>
      </c>
      <c r="K20" s="244">
        <f t="shared" si="3"/>
        <v>4.1493775933609959E-3</v>
      </c>
      <c r="L20" s="1402">
        <f>IF(ISNUMBER(NºAsuntos!I20/NºAsuntos!G20),(NºAsuntos!I20/NºAsuntos!G20)*11," - ")</f>
        <v>14.871508379888269</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2161</v>
      </c>
      <c r="D23" s="1407">
        <f>SUBTOTAL(9,D16:D22)</f>
        <v>2224</v>
      </c>
      <c r="E23" s="1408">
        <f>SUBTOTAL(9,E16:E22)</f>
        <v>1982</v>
      </c>
      <c r="F23" s="1408">
        <f>SUBTOTAL(9,F16:F22)</f>
        <v>1636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2311</v>
      </c>
      <c r="D31" s="1435">
        <f>SUBTOTAL(9,D9:D30)</f>
        <v>2374</v>
      </c>
      <c r="E31" s="1436">
        <f>SUBTOTAL(9,E9:E30)</f>
        <v>2020</v>
      </c>
      <c r="F31" s="1436">
        <f>SUBTOTAL(9,F9:F30)</f>
        <v>1659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u0v5f7RqHxckFu1b8yKGbg/dElu+63RovtUAkouZH/pKW0Q8rAl9cg7t9pEkZtzh9Z0IcB/8aCU3lNPuwyY1wQ==" saltValue="/YaFJBCeyURLOv/U3kDP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qEg8RXKjM2x4bzOZQ0qmCcilNRy9MVAEDhj4uRYYVv1jNxH0vwB0nNBNU+UJm8Yt5B8eWhObiuU2oM2JYK0TAw==" saltValue="56HIxPqse60x/mha5wuK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2821</v>
      </c>
      <c r="J9" s="194">
        <v>1494</v>
      </c>
      <c r="K9" s="194">
        <v>1218</v>
      </c>
      <c r="L9" s="194">
        <v>3085</v>
      </c>
      <c r="M9" s="194">
        <v>366</v>
      </c>
      <c r="N9" s="194">
        <v>427</v>
      </c>
      <c r="O9" s="194">
        <v>699</v>
      </c>
      <c r="P9" s="194">
        <v>555</v>
      </c>
      <c r="Q9" s="194">
        <v>697</v>
      </c>
      <c r="R9" s="194">
        <v>6886</v>
      </c>
      <c r="S9" s="194">
        <v>2552</v>
      </c>
      <c r="T9" s="194">
        <v>1224</v>
      </c>
      <c r="U9" s="194">
        <v>1130</v>
      </c>
      <c r="V9" s="194">
        <v>2646</v>
      </c>
      <c r="W9" s="194">
        <v>302</v>
      </c>
      <c r="X9" s="201">
        <v>396</v>
      </c>
      <c r="Y9" s="204">
        <v>38</v>
      </c>
      <c r="Z9" s="194">
        <v>89</v>
      </c>
      <c r="AA9" s="194">
        <v>75</v>
      </c>
      <c r="AB9" s="194">
        <v>48</v>
      </c>
      <c r="AC9" s="194">
        <v>0</v>
      </c>
      <c r="AD9" s="194">
        <v>0</v>
      </c>
      <c r="AE9" s="194">
        <v>0</v>
      </c>
      <c r="AF9" s="201">
        <v>0</v>
      </c>
      <c r="AG9" s="204">
        <v>55</v>
      </c>
      <c r="AH9" s="194">
        <v>74</v>
      </c>
      <c r="AI9" s="194">
        <v>80</v>
      </c>
      <c r="AJ9" s="205">
        <v>49</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2607</v>
      </c>
      <c r="AZ9" s="133">
        <f>IF(ISNUMBER(IF(J_V="SI",T9,T9+AH9)),IF(J_V="SI",T9,T9+AH9)," - ")</f>
        <v>1298</v>
      </c>
      <c r="BA9" s="134">
        <f>IF(ISNUMBER(IF(J_V="SI",U9,U9+AI9)),IF(J_V="SI",U9,U9+AI9)," - ")</f>
        <v>1210</v>
      </c>
      <c r="BB9" s="134">
        <f>IF(ISNUMBER(IF(J_V="SI",V9,V9+AJ9)),IF(J_V="SI",V9,V9+AJ9)," - ")</f>
        <v>2695</v>
      </c>
      <c r="BC9" s="135">
        <f>IF(ISNUMBER(X9),X9," - ")</f>
        <v>396</v>
      </c>
      <c r="BD9" s="136">
        <f>IF(ISNUMBER(BA9/AZ9),BA9/AZ9," - ")</f>
        <v>0.93220338983050843</v>
      </c>
      <c r="BE9" s="137">
        <f>IF(ISNUMBER(BB9/BA9),BB9/BA9, " - ")</f>
        <v>2.2272727272727271</v>
      </c>
      <c r="BF9" s="137">
        <f>IF(ISNUMBER(BC9/BA9),BC9/BA9, " - ")</f>
        <v>0.32727272727272727</v>
      </c>
      <c r="BG9" s="209">
        <f>IF(ISNUMBER((AY9+AZ9)/BA9),(AY9+AZ9)/BA9," - ")</f>
        <v>3.2272727272727271</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150</v>
      </c>
      <c r="J10" s="194">
        <v>38</v>
      </c>
      <c r="K10" s="194">
        <v>23</v>
      </c>
      <c r="L10" s="194">
        <v>165</v>
      </c>
      <c r="M10" s="194">
        <v>5</v>
      </c>
      <c r="N10" s="194">
        <v>14</v>
      </c>
      <c r="O10" s="194">
        <v>7</v>
      </c>
      <c r="P10" s="194">
        <v>9</v>
      </c>
      <c r="Q10" s="194">
        <v>3</v>
      </c>
      <c r="R10" s="194">
        <v>162</v>
      </c>
      <c r="S10" s="194">
        <v>126</v>
      </c>
      <c r="T10" s="194">
        <v>31</v>
      </c>
      <c r="U10" s="194">
        <v>43</v>
      </c>
      <c r="V10" s="194">
        <v>114</v>
      </c>
      <c r="W10" s="194">
        <v>15</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126</v>
      </c>
      <c r="AZ10" s="139">
        <f t="shared" si="0"/>
        <v>31</v>
      </c>
      <c r="BA10" s="139">
        <f t="shared" si="0"/>
        <v>43</v>
      </c>
      <c r="BB10" s="139">
        <f t="shared" si="0"/>
        <v>114</v>
      </c>
      <c r="BC10" s="135">
        <f t="shared" si="0"/>
        <v>15</v>
      </c>
      <c r="BD10" s="136">
        <f>IF(ISNUMBER(BA10/AZ10),BA10/AZ10," - ")</f>
        <v>1.3870967741935485</v>
      </c>
      <c r="BE10" s="137">
        <f>IF(ISNUMBER(BB10/BA10),BB10/BA10, " - ")</f>
        <v>2.6511627906976742</v>
      </c>
      <c r="BF10" s="137">
        <f>IF(ISNUMBER(BC10/BA10),BC10/BA10, " - ")</f>
        <v>0.34883720930232559</v>
      </c>
      <c r="BG10" s="209">
        <f>IF(ISNUMBER((AY10+AZ10)/BA10),(AY10+AZ10)/BA10," - ")</f>
        <v>3.6511627906976742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607</v>
      </c>
      <c r="J11" s="196">
        <v>405</v>
      </c>
      <c r="K11" s="196">
        <v>308</v>
      </c>
      <c r="L11" s="196">
        <v>704</v>
      </c>
      <c r="M11" s="196">
        <v>65</v>
      </c>
      <c r="N11" s="196">
        <v>266</v>
      </c>
      <c r="O11" s="194">
        <v>75</v>
      </c>
      <c r="P11" s="196">
        <v>31</v>
      </c>
      <c r="Q11" s="196">
        <v>17</v>
      </c>
      <c r="R11" s="196">
        <v>527</v>
      </c>
      <c r="S11" s="196">
        <v>572</v>
      </c>
      <c r="T11" s="196">
        <v>253</v>
      </c>
      <c r="U11" s="196">
        <v>181</v>
      </c>
      <c r="V11" s="196">
        <v>644</v>
      </c>
      <c r="W11" s="196">
        <v>96</v>
      </c>
      <c r="X11" s="202">
        <v>108</v>
      </c>
      <c r="Y11" s="204">
        <v>56</v>
      </c>
      <c r="Z11" s="194">
        <v>83</v>
      </c>
      <c r="AA11" s="194">
        <v>90</v>
      </c>
      <c r="AB11" s="194">
        <v>49</v>
      </c>
      <c r="AC11" s="196">
        <v>0</v>
      </c>
      <c r="AD11" s="196">
        <v>0</v>
      </c>
      <c r="AE11" s="196">
        <v>0</v>
      </c>
      <c r="AF11" s="202">
        <v>0</v>
      </c>
      <c r="AG11" s="215">
        <v>67</v>
      </c>
      <c r="AH11" s="196">
        <v>108</v>
      </c>
      <c r="AI11" s="196">
        <v>94</v>
      </c>
      <c r="AJ11" s="216">
        <v>81</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639</v>
      </c>
      <c r="AZ11" s="137">
        <f t="shared" si="1"/>
        <v>361</v>
      </c>
      <c r="BA11" s="137">
        <f t="shared" si="1"/>
        <v>275</v>
      </c>
      <c r="BB11" s="137">
        <f t="shared" si="1"/>
        <v>725</v>
      </c>
      <c r="BC11" s="135">
        <f>IF(ISNUMBER(X11),X11," - ")</f>
        <v>108</v>
      </c>
      <c r="BD11" s="136">
        <f t="shared" ref="BD11:BD13" si="2">IF(ISNUMBER(BA11/AZ11),BA11/AZ11," - ")</f>
        <v>0.76177285318559562</v>
      </c>
      <c r="BE11" s="137">
        <f t="shared" ref="BE11:BE13" si="3">IF(ISNUMBER(BB11/BA11),BB11/BA11, " - ")</f>
        <v>2.6363636363636362</v>
      </c>
      <c r="BF11" s="137">
        <f t="shared" ref="BF11:BF13" si="4">IF(ISNUMBER(BC11/BA11),BC11/BA11, " - ")</f>
        <v>0.3927272727272727</v>
      </c>
      <c r="BG11" s="209">
        <f t="shared" ref="BG11:BG13" si="5">IF(ISNUMBER((AY11+AZ11)/BA11),(AY11+AZ11)/BA11," - ")</f>
        <v>3.6363636363636362</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0</v>
      </c>
      <c r="P12" s="196">
        <v>0</v>
      </c>
      <c r="Q12" s="196">
        <v>6</v>
      </c>
      <c r="R12" s="196">
        <v>51</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3579</v>
      </c>
      <c r="J14" s="197">
        <f t="shared" si="7"/>
        <v>1937</v>
      </c>
      <c r="K14" s="197">
        <f t="shared" si="7"/>
        <v>1549</v>
      </c>
      <c r="L14" s="197">
        <f t="shared" si="7"/>
        <v>3955</v>
      </c>
      <c r="M14" s="197">
        <f t="shared" si="7"/>
        <v>436</v>
      </c>
      <c r="N14" s="197">
        <f t="shared" si="7"/>
        <v>707</v>
      </c>
      <c r="O14" s="197">
        <f t="shared" si="7"/>
        <v>781</v>
      </c>
      <c r="P14" s="197">
        <f t="shared" si="7"/>
        <v>595</v>
      </c>
      <c r="Q14" s="197">
        <f t="shared" si="7"/>
        <v>723</v>
      </c>
      <c r="R14" s="197">
        <f t="shared" si="7"/>
        <v>7626</v>
      </c>
      <c r="S14" s="197">
        <f t="shared" si="7"/>
        <v>3251</v>
      </c>
      <c r="T14" s="197">
        <f t="shared" si="7"/>
        <v>1508</v>
      </c>
      <c r="U14" s="197">
        <f t="shared" si="7"/>
        <v>1354</v>
      </c>
      <c r="V14" s="197">
        <f t="shared" si="7"/>
        <v>3405</v>
      </c>
      <c r="W14" s="197">
        <f t="shared" si="7"/>
        <v>413</v>
      </c>
      <c r="X14" s="197">
        <f t="shared" si="7"/>
        <v>510</v>
      </c>
      <c r="Y14" s="197">
        <f t="shared" si="7"/>
        <v>94</v>
      </c>
      <c r="Z14" s="197">
        <f t="shared" si="7"/>
        <v>172</v>
      </c>
      <c r="AA14" s="197">
        <f t="shared" si="7"/>
        <v>165</v>
      </c>
      <c r="AB14" s="197">
        <f t="shared" si="7"/>
        <v>97</v>
      </c>
      <c r="AC14" s="197">
        <f t="shared" si="7"/>
        <v>0</v>
      </c>
      <c r="AD14" s="197">
        <f t="shared" si="7"/>
        <v>0</v>
      </c>
      <c r="AE14" s="197">
        <f t="shared" si="7"/>
        <v>0</v>
      </c>
      <c r="AF14" s="197">
        <f>SUBTOTAL(9,AF9:AF13)</f>
        <v>0</v>
      </c>
      <c r="AG14" s="197">
        <f t="shared" ref="AG14:AT14" si="8">SUBTOTAL(9,AG8:AG13)</f>
        <v>122</v>
      </c>
      <c r="AH14" s="197">
        <f t="shared" si="8"/>
        <v>182</v>
      </c>
      <c r="AI14" s="197">
        <f t="shared" si="8"/>
        <v>174</v>
      </c>
      <c r="AJ14" s="197">
        <f t="shared" si="8"/>
        <v>130</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3373</v>
      </c>
      <c r="AZ14" s="197">
        <f>SUBTOTAL(9,AZ8:AZ13)</f>
        <v>1690</v>
      </c>
      <c r="BA14" s="197">
        <f>SUBTOTAL(9,BA8:BA13)</f>
        <v>1528</v>
      </c>
      <c r="BB14" s="197">
        <f>SUBTOTAL(9,BB8:BB13)</f>
        <v>3535</v>
      </c>
      <c r="BC14" s="197">
        <f>SUBTOTAL(9,BC8:BC13)</f>
        <v>519</v>
      </c>
      <c r="BD14" s="219">
        <f>IF(ISNUMBER(BA14/AZ14),BA14/AZ14," - ")</f>
        <v>0.90414201183431953</v>
      </c>
      <c r="BE14" s="220">
        <f>IF(ISNUMBER(BB14/BA14),BB14/BA14, " - ")</f>
        <v>2.3134816753926701</v>
      </c>
      <c r="BF14" s="220">
        <f>IF(ISNUMBER(BC14/BA14),BC14/BA14, " - ")</f>
        <v>0.33965968586387435</v>
      </c>
      <c r="BG14" s="221">
        <f>IF(ISNUMBER((AY14+AZ14)/BA14),(AY14+AZ14)/BA14," - ")</f>
        <v>3.3134816753926701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1760</v>
      </c>
      <c r="J16" s="196">
        <v>1577</v>
      </c>
      <c r="K16" s="196">
        <v>1254</v>
      </c>
      <c r="L16" s="196">
        <v>2020</v>
      </c>
      <c r="M16" s="196">
        <v>244</v>
      </c>
      <c r="N16" s="196">
        <v>704</v>
      </c>
      <c r="O16" s="194">
        <v>32</v>
      </c>
      <c r="P16" s="196">
        <v>85</v>
      </c>
      <c r="Q16" s="196">
        <v>57</v>
      </c>
      <c r="R16" s="196">
        <v>296</v>
      </c>
      <c r="S16" s="196">
        <v>1346</v>
      </c>
      <c r="T16" s="196">
        <v>1680</v>
      </c>
      <c r="U16" s="196">
        <v>1384</v>
      </c>
      <c r="V16" s="196">
        <v>1642</v>
      </c>
      <c r="W16" s="196">
        <v>252</v>
      </c>
      <c r="X16" s="202">
        <v>730</v>
      </c>
      <c r="Y16" s="215">
        <v>0</v>
      </c>
      <c r="Z16" s="196">
        <v>0</v>
      </c>
      <c r="AA16" s="196">
        <v>0</v>
      </c>
      <c r="AB16" s="196">
        <v>0</v>
      </c>
      <c r="AC16" s="196">
        <v>0</v>
      </c>
      <c r="AD16" s="196">
        <v>19</v>
      </c>
      <c r="AE16" s="196">
        <v>19</v>
      </c>
      <c r="AF16" s="202">
        <v>0</v>
      </c>
      <c r="AG16" s="215">
        <v>0</v>
      </c>
      <c r="AH16" s="196">
        <v>0</v>
      </c>
      <c r="AI16" s="196">
        <v>0</v>
      </c>
      <c r="AJ16" s="216">
        <v>0</v>
      </c>
      <c r="AK16" s="195">
        <v>0</v>
      </c>
      <c r="AL16" s="196">
        <v>35</v>
      </c>
      <c r="AM16" s="196">
        <v>34</v>
      </c>
      <c r="AN16" s="202">
        <v>1</v>
      </c>
      <c r="AO16" s="283">
        <v>3</v>
      </c>
      <c r="AP16" s="168">
        <v>3</v>
      </c>
      <c r="AQ16" s="168">
        <v>3</v>
      </c>
      <c r="AR16" s="168">
        <v>3</v>
      </c>
      <c r="AS16" s="381" t="s">
        <v>697</v>
      </c>
      <c r="AT16" s="216" t="s">
        <v>420</v>
      </c>
      <c r="AU16" s="215"/>
      <c r="AV16" s="216"/>
      <c r="AW16" s="215"/>
      <c r="AX16" s="216"/>
      <c r="AY16" s="138">
        <f t="shared" ref="AY16:BB17" si="10">IF(ISNUMBER(IF(D_I="SI",S16,S16+AK16)),IF(D_I="SI",S16,S16+AK16)," - ")</f>
        <v>1346</v>
      </c>
      <c r="AZ16" s="139">
        <f t="shared" si="10"/>
        <v>1680</v>
      </c>
      <c r="BA16" s="139">
        <f t="shared" si="10"/>
        <v>1384</v>
      </c>
      <c r="BB16" s="139">
        <f t="shared" si="10"/>
        <v>1642</v>
      </c>
      <c r="BC16" s="135">
        <f>IF(ISNUMBER(W16),W16," - ")</f>
        <v>252</v>
      </c>
      <c r="BD16" s="136">
        <f>IF(ISNUMBER(BA16/AZ16),BA16/AZ16," - ")</f>
        <v>0.82380952380952377</v>
      </c>
      <c r="BE16" s="137">
        <f>IF(ISNUMBER(BB16/BA16),BB16/BA16, " - ")</f>
        <v>1.1864161849710984</v>
      </c>
      <c r="BF16" s="137">
        <f>IF(ISNUMBER(BC16/BA16),BC16/BA16, " - ")</f>
        <v>0.18208092485549132</v>
      </c>
      <c r="BG16" s="209">
        <f t="shared" ref="BG16:BG22" si="11">IF(ISNUMBER((AY16+AZ16)/BA16),(AY16+AZ16)/BA16," - ")</f>
        <v>2.1864161849710984</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223</v>
      </c>
      <c r="J18" s="196">
        <v>225</v>
      </c>
      <c r="K18" s="196">
        <v>203</v>
      </c>
      <c r="L18" s="196">
        <v>245</v>
      </c>
      <c r="M18" s="196">
        <v>37</v>
      </c>
      <c r="N18" s="196">
        <v>99</v>
      </c>
      <c r="O18" s="196">
        <v>1</v>
      </c>
      <c r="P18" s="196">
        <v>1</v>
      </c>
      <c r="Q18" s="196">
        <v>1</v>
      </c>
      <c r="R18" s="196">
        <v>8</v>
      </c>
      <c r="S18" s="196">
        <v>213</v>
      </c>
      <c r="T18" s="196">
        <v>206</v>
      </c>
      <c r="U18" s="196">
        <v>194</v>
      </c>
      <c r="V18" s="196">
        <v>225</v>
      </c>
      <c r="W18" s="196">
        <v>27</v>
      </c>
      <c r="X18" s="202">
        <v>137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213</v>
      </c>
      <c r="AZ18" s="139">
        <f t="shared" si="15"/>
        <v>206</v>
      </c>
      <c r="BA18" s="139">
        <f t="shared" si="15"/>
        <v>194</v>
      </c>
      <c r="BB18" s="139">
        <f t="shared" si="15"/>
        <v>225</v>
      </c>
      <c r="BC18" s="135">
        <f>IF(ISNUMBER(W18),W18," - ")</f>
        <v>27</v>
      </c>
      <c r="BD18" s="136">
        <f>IF(ISNUMBER(BA18/AZ18),BA18/AZ18," - ")</f>
        <v>0.94174757281553401</v>
      </c>
      <c r="BE18" s="137">
        <f>IF(ISNUMBER(BB18/BA18),BB18/BA18, " - ")</f>
        <v>1.1597938144329898</v>
      </c>
      <c r="BF18" s="137">
        <f>IF(ISNUMBER(BC18/BA18),BC18/BA18, " - ")</f>
        <v>0.13917525773195877</v>
      </c>
      <c r="BG18" s="209">
        <f>IF(ISNUMBER((AY18+AZ18)/BA18),(AY18+AZ18)/BA18," - ")</f>
        <v>2.1597938144329896</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v>241</v>
      </c>
      <c r="J20" s="196">
        <v>180</v>
      </c>
      <c r="K20" s="196">
        <v>179</v>
      </c>
      <c r="L20" s="196">
        <v>242</v>
      </c>
      <c r="M20" s="196" t="s">
        <v>1183</v>
      </c>
      <c r="N20" s="534">
        <v>162</v>
      </c>
      <c r="O20" s="534">
        <v>0</v>
      </c>
      <c r="P20" s="196" t="s">
        <v>1183</v>
      </c>
      <c r="Q20" s="196" t="s">
        <v>1183</v>
      </c>
      <c r="R20" s="196" t="s">
        <v>1183</v>
      </c>
      <c r="S20" s="196">
        <v>214</v>
      </c>
      <c r="T20" s="196">
        <v>212</v>
      </c>
      <c r="U20" s="196">
        <v>207</v>
      </c>
      <c r="V20" s="196">
        <v>219</v>
      </c>
      <c r="W20" s="196" t="s">
        <v>1183</v>
      </c>
      <c r="X20" s="202">
        <v>197</v>
      </c>
      <c r="Y20" s="215">
        <v>0</v>
      </c>
      <c r="Z20" s="196">
        <v>0</v>
      </c>
      <c r="AA20" s="196">
        <v>0</v>
      </c>
      <c r="AB20" s="196">
        <v>0</v>
      </c>
      <c r="AC20" s="196">
        <v>0</v>
      </c>
      <c r="AD20" s="196">
        <v>0</v>
      </c>
      <c r="AE20" s="196">
        <v>0</v>
      </c>
      <c r="AF20" s="202">
        <v>0</v>
      </c>
      <c r="AG20" s="215">
        <v>0</v>
      </c>
      <c r="AH20" s="196">
        <v>0</v>
      </c>
      <c r="AI20" s="196">
        <v>0</v>
      </c>
      <c r="AJ20" s="216">
        <v>0</v>
      </c>
      <c r="AK20" s="195">
        <v>0</v>
      </c>
      <c r="AL20" s="196">
        <v>0</v>
      </c>
      <c r="AM20" s="196">
        <v>0</v>
      </c>
      <c r="AN20" s="202">
        <v>0</v>
      </c>
      <c r="AO20" s="283">
        <v>0</v>
      </c>
      <c r="AP20" s="168">
        <v>0</v>
      </c>
      <c r="AQ20" s="168">
        <v>0</v>
      </c>
      <c r="AR20" s="168">
        <v>0</v>
      </c>
      <c r="AS20" s="196" t="s">
        <v>69</v>
      </c>
      <c r="AT20" s="216"/>
      <c r="AU20" s="215"/>
      <c r="AV20" s="216"/>
      <c r="AW20" s="215"/>
      <c r="AX20" s="216"/>
      <c r="AY20" s="138">
        <f t="shared" ref="AY20:AY22" si="16">IF(ISNUMBER(S20),S20," - ")</f>
        <v>214</v>
      </c>
      <c r="AZ20" s="139">
        <f t="shared" ref="AZ20:AZ22" si="17">IF(ISNUMBER(T20),T20," - ")</f>
        <v>212</v>
      </c>
      <c r="BA20" s="139">
        <f t="shared" ref="BA20:BA22" si="18">IF(ISNUMBER(U20),U20," - ")</f>
        <v>207</v>
      </c>
      <c r="BB20" s="139">
        <f t="shared" ref="BB20:BB22" si="19">IF(ISNUMBER(V20),V20," - ")</f>
        <v>219</v>
      </c>
      <c r="BC20" s="135" t="str">
        <f t="shared" ref="BC20:BC22" si="20">IF(ISNUMBER(W20),W20," - ")</f>
        <v xml:space="preserve"> - </v>
      </c>
      <c r="BD20" s="136">
        <f t="shared" si="12"/>
        <v>0.97641509433962259</v>
      </c>
      <c r="BE20" s="137">
        <f t="shared" si="13"/>
        <v>1.0579710144927537</v>
      </c>
      <c r="BF20" s="137" t="str">
        <f t="shared" si="14"/>
        <v xml:space="preserve"> - </v>
      </c>
      <c r="BG20" s="209">
        <f t="shared" si="11"/>
        <v>2.0579710144927534</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2224</v>
      </c>
      <c r="J23" s="197">
        <f t="shared" si="21"/>
        <v>1982</v>
      </c>
      <c r="K23" s="197">
        <f t="shared" si="21"/>
        <v>1636</v>
      </c>
      <c r="L23" s="197">
        <f t="shared" si="21"/>
        <v>2507</v>
      </c>
      <c r="M23" s="197">
        <f t="shared" si="21"/>
        <v>281</v>
      </c>
      <c r="N23" s="197">
        <f t="shared" si="21"/>
        <v>965</v>
      </c>
      <c r="O23" s="197">
        <f t="shared" si="21"/>
        <v>33</v>
      </c>
      <c r="P23" s="197">
        <f t="shared" si="21"/>
        <v>86</v>
      </c>
      <c r="Q23" s="197">
        <f t="shared" si="21"/>
        <v>58</v>
      </c>
      <c r="R23" s="197">
        <f t="shared" si="21"/>
        <v>304</v>
      </c>
      <c r="S23" s="197">
        <f t="shared" si="21"/>
        <v>1773</v>
      </c>
      <c r="T23" s="197">
        <f t="shared" si="21"/>
        <v>2098</v>
      </c>
      <c r="U23" s="197">
        <f t="shared" si="21"/>
        <v>1785</v>
      </c>
      <c r="V23" s="197">
        <f t="shared" si="21"/>
        <v>2086</v>
      </c>
      <c r="W23" s="197">
        <f t="shared" si="21"/>
        <v>279</v>
      </c>
      <c r="X23" s="197">
        <f t="shared" si="21"/>
        <v>1064</v>
      </c>
      <c r="Y23" s="197">
        <f t="shared" si="21"/>
        <v>0</v>
      </c>
      <c r="Z23" s="197">
        <f t="shared" si="21"/>
        <v>0</v>
      </c>
      <c r="AA23" s="197">
        <f t="shared" si="21"/>
        <v>0</v>
      </c>
      <c r="AB23" s="197">
        <f t="shared" si="21"/>
        <v>0</v>
      </c>
      <c r="AC23" s="197">
        <f t="shared" si="21"/>
        <v>0</v>
      </c>
      <c r="AD23" s="197">
        <f t="shared" si="21"/>
        <v>19</v>
      </c>
      <c r="AE23" s="197">
        <f t="shared" si="21"/>
        <v>19</v>
      </c>
      <c r="AF23" s="197">
        <f t="shared" si="21"/>
        <v>0</v>
      </c>
      <c r="AG23" s="197">
        <f t="shared" si="21"/>
        <v>0</v>
      </c>
      <c r="AH23" s="197">
        <f t="shared" si="21"/>
        <v>0</v>
      </c>
      <c r="AI23" s="197">
        <f t="shared" si="21"/>
        <v>0</v>
      </c>
      <c r="AJ23" s="197">
        <f t="shared" si="21"/>
        <v>0</v>
      </c>
      <c r="AK23" s="197">
        <f t="shared" si="21"/>
        <v>0</v>
      </c>
      <c r="AL23" s="197">
        <f t="shared" si="21"/>
        <v>35</v>
      </c>
      <c r="AM23" s="197">
        <f t="shared" si="21"/>
        <v>34</v>
      </c>
      <c r="AN23" s="197">
        <f t="shared" si="21"/>
        <v>1</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1773</v>
      </c>
      <c r="AZ23" s="197">
        <f>SUBTOTAL(9,AZ15:AZ22)</f>
        <v>2098</v>
      </c>
      <c r="BA23" s="197">
        <f>SUBTOTAL(9,BA15:BA22)</f>
        <v>1785</v>
      </c>
      <c r="BB23" s="197">
        <f>SUBTOTAL(9,BB15:BB22)</f>
        <v>2086</v>
      </c>
      <c r="BC23" s="197">
        <f>SUBTOTAL(9,BC15:BC22)</f>
        <v>279</v>
      </c>
      <c r="BD23" s="219">
        <f>IF(ISNUMBER(BA23/AZ23),BA23/AZ23," - ")</f>
        <v>0.85081029551954246</v>
      </c>
      <c r="BE23" s="220">
        <f>IF(ISNUMBER(BB23/BA23),BB23/BA23, " - ")</f>
        <v>1.1686274509803922</v>
      </c>
      <c r="BF23" s="220">
        <f>IF(ISNUMBER(BC23/BA23),BC23/BA23, " - ")</f>
        <v>0.15630252100840336</v>
      </c>
      <c r="BG23" s="221">
        <f>IF(ISNUMBER((AY23+AZ23)/BA23),(AY23+AZ23)/BA23," - ")</f>
        <v>2.168627450980392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5803</v>
      </c>
      <c r="J31" s="144">
        <f t="shared" si="36"/>
        <v>3919</v>
      </c>
      <c r="K31" s="144">
        <f t="shared" si="36"/>
        <v>3185</v>
      </c>
      <c r="L31" s="144">
        <f t="shared" si="36"/>
        <v>6462</v>
      </c>
      <c r="M31" s="144">
        <f t="shared" si="36"/>
        <v>717</v>
      </c>
      <c r="N31" s="144">
        <f t="shared" si="36"/>
        <v>1672</v>
      </c>
      <c r="O31" s="144">
        <f t="shared" si="36"/>
        <v>814</v>
      </c>
      <c r="P31" s="144">
        <f t="shared" si="36"/>
        <v>681</v>
      </c>
      <c r="Q31" s="144">
        <f t="shared" si="36"/>
        <v>781</v>
      </c>
      <c r="R31" s="144">
        <f t="shared" si="36"/>
        <v>7930</v>
      </c>
      <c r="S31" s="144">
        <f t="shared" si="36"/>
        <v>5024</v>
      </c>
      <c r="T31" s="144">
        <f t="shared" si="36"/>
        <v>3606</v>
      </c>
      <c r="U31" s="144">
        <f t="shared" si="36"/>
        <v>3139</v>
      </c>
      <c r="V31" s="144">
        <f t="shared" si="36"/>
        <v>5491</v>
      </c>
      <c r="W31" s="144">
        <f t="shared" si="36"/>
        <v>692</v>
      </c>
      <c r="X31" s="144">
        <f t="shared" si="36"/>
        <v>1574</v>
      </c>
      <c r="Y31" s="144">
        <f t="shared" si="36"/>
        <v>94</v>
      </c>
      <c r="Z31" s="144">
        <f t="shared" si="36"/>
        <v>172</v>
      </c>
      <c r="AA31" s="144">
        <f t="shared" si="36"/>
        <v>165</v>
      </c>
      <c r="AB31" s="144">
        <f t="shared" si="36"/>
        <v>97</v>
      </c>
      <c r="AC31" s="144">
        <f t="shared" si="36"/>
        <v>0</v>
      </c>
      <c r="AD31" s="144">
        <f t="shared" si="36"/>
        <v>19</v>
      </c>
      <c r="AE31" s="144">
        <f t="shared" si="36"/>
        <v>19</v>
      </c>
      <c r="AF31" s="144">
        <f t="shared" si="36"/>
        <v>0</v>
      </c>
      <c r="AG31" s="144">
        <f t="shared" si="36"/>
        <v>122</v>
      </c>
      <c r="AH31" s="144">
        <f t="shared" si="36"/>
        <v>182</v>
      </c>
      <c r="AI31" s="144">
        <f t="shared" si="36"/>
        <v>174</v>
      </c>
      <c r="AJ31" s="144">
        <f t="shared" si="36"/>
        <v>130</v>
      </c>
      <c r="AK31" s="144">
        <f t="shared" si="36"/>
        <v>0</v>
      </c>
      <c r="AL31" s="144">
        <f t="shared" si="36"/>
        <v>35</v>
      </c>
      <c r="AM31" s="144">
        <f t="shared" si="36"/>
        <v>34</v>
      </c>
      <c r="AN31" s="224">
        <f t="shared" si="36"/>
        <v>1</v>
      </c>
      <c r="AO31" s="225">
        <v>11</v>
      </c>
      <c r="AP31" s="225">
        <v>11</v>
      </c>
      <c r="AQ31" s="225">
        <v>11</v>
      </c>
      <c r="AR31" s="225">
        <v>11</v>
      </c>
      <c r="AS31" s="166">
        <f t="shared" si="36"/>
        <v>0</v>
      </c>
      <c r="AT31" s="166">
        <f t="shared" si="36"/>
        <v>0</v>
      </c>
      <c r="AU31" s="225"/>
      <c r="AV31" s="226"/>
      <c r="AW31" s="225"/>
      <c r="AX31" s="226"/>
      <c r="AY31" s="143">
        <f>SUBTOTAL(9,AY9:AY30)</f>
        <v>5146</v>
      </c>
      <c r="AZ31" s="144">
        <f>SUBTOTAL(9,AZ9:AZ30)</f>
        <v>3788</v>
      </c>
      <c r="BA31" s="144">
        <f>SUBTOTAL(9,BA9:BA30)</f>
        <v>3313</v>
      </c>
      <c r="BB31" s="144">
        <f>SUBTOTAL(9,BB9:BB30)</f>
        <v>5621</v>
      </c>
      <c r="BC31" s="145">
        <f>SUBTOTAL(9,BC9:BC30)</f>
        <v>798</v>
      </c>
      <c r="BD31" s="227">
        <f>IF(ISNUMBER(BA31/AZ31),BA31/AZ31," - ")</f>
        <v>0.87460401267159449</v>
      </c>
      <c r="BE31" s="224">
        <f>IF(ISNUMBER(BB31/BA31),BB31/BA31, " - ")</f>
        <v>1.6966495623302142</v>
      </c>
      <c r="BF31" s="224">
        <f>IF(ISNUMBER(BC31/BA31),BC31/BA31, " - ")</f>
        <v>0.24086930274675522</v>
      </c>
      <c r="BG31" s="145">
        <f>IF(ISNUMBER((AY31+AZ31)/BA31),(AY31+AZ31)/BA31," - ")</f>
        <v>2.6966495623302142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aMvPTYG5u2h4IfvPn5gzhyFZFjeQv2qT4+kKJkPHYhwuWyy7t0iynxfYvi3e6PNK5HG32kkB+HnLcbXZdZLHw==" saltValue="dXhajaR2hV3cTii69jNL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Hia2o/4EJd5Y7TbvxxP3aQfd2yfqM0SszPuBFn4JtUhPx0bp8Twm/1dL+gOnCNJQm+ri9tLCJG6nNg9Qste/Q==" saltValue="piac+s3hRhpex5eQxRBN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LOGROÑO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89</v>
      </c>
      <c r="O9" s="549"/>
      <c r="P9" s="549"/>
      <c r="Q9" s="547">
        <f>IF(ISNUMBER(Datos!P9),Datos!P9,0)</f>
        <v>555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697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48</v>
      </c>
      <c r="AI9" s="549" t="str">
        <f>IF(ISNUMBER(Datos!CD9),Datos!CD9,"-")</f>
        <v>-</v>
      </c>
      <c r="AJ9" s="549" t="str">
        <f>IF(ISNUMBER(Datos!EN9),Datos!EN9," - ")</f>
        <v xml:space="preserve"> - </v>
      </c>
      <c r="AK9" s="549"/>
      <c r="AL9" s="550"/>
      <c r="AM9" s="766">
        <f>IF(ISNUMBER(Datos!R9),Datos!R9," - ")</f>
        <v>6886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366</v>
      </c>
      <c r="BD9" s="693">
        <f>IF(ISNUMBER(Datos!N9),Datos!N9," - ")</f>
        <v>427</v>
      </c>
      <c r="BE9" s="693" t="str">
        <f>IF(ISNUMBER(Datos!BW9),Datos!BW9," - ")</f>
        <v xml:space="preserve"> - </v>
      </c>
      <c r="BF9" s="762" t="str">
        <f>IF(ISNUMBER(Datos!BX9),Datos!BX9," - ")</f>
        <v xml:space="preserve"> - </v>
      </c>
      <c r="BG9" s="763">
        <f>IF(ISNUMBER(IF(J_V="SI",Datos!K9/Datos!J9,(Datos!K9+Datos!AA9)/(Datos!J9+Datos!Z9))),IF(J_V="SI",Datos!K9/Datos!J9,(Datos!K9+Datos!AA9)/(Datos!J9+Datos!Z9))," - ")</f>
        <v>0.81680353758686042</v>
      </c>
      <c r="BH9" s="764">
        <f>IF(ISNUMBER(((IF(J_V="SI",Datos!L9/Datos!K9,(Datos!L9+Datos!AB9)/(Datos!K9+Datos!AA9)))*11)/factor_trimestre),((IF(J_V="SI",Datos!L9/Datos!K9,(Datos!L9+Datos!AB9)/(Datos!K9+Datos!AA9)))*11)/factor_trimestre," - ")</f>
        <v>4.8460943542150039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-2.0204894706886738E-2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150</v>
      </c>
      <c r="G10" s="543">
        <f>IF(ISNUMBER(Datos!I10),Datos!I10," - ")</f>
        <v>150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3</v>
      </c>
      <c r="AD10" s="549"/>
      <c r="AE10" s="563"/>
      <c r="AF10" s="551">
        <f>IF(ISNUMBER(Datos!L10),Datos!L10,"-")</f>
        <v>165</v>
      </c>
      <c r="AG10" s="549"/>
      <c r="AH10" s="549"/>
      <c r="AI10" s="549"/>
      <c r="AJ10" s="549"/>
      <c r="AK10" s="549"/>
      <c r="AL10" s="550"/>
      <c r="AM10" s="766">
        <f>IF(ISNUMBER(Datos!R10),Datos!R10," - ")</f>
        <v>162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14</v>
      </c>
      <c r="BE10" s="693" t="str">
        <f>IF(ISNUMBER(Datos!BW10),Datos!BW10," - ")</f>
        <v xml:space="preserve"> - </v>
      </c>
      <c r="BF10" s="762" t="str">
        <f>IF(ISNUMBER(Datos!BX10),Datos!BX10," - ")</f>
        <v xml:space="preserve"> - </v>
      </c>
      <c r="BG10" s="763">
        <f>IF(ISNUMBER(Datos!K10/Datos!J10),Datos!K10/Datos!J10," - ")</f>
        <v>0.60526315789473684</v>
      </c>
      <c r="BH10" s="764">
        <f>IF(ISNUMBER(((Datos!L10/Datos!K10)*11)/factor_trimestre),((Datos!L10/Datos!K10)*11)/factor_trimestre," - ")</f>
        <v>14.347826086956523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3.8461538461538464E-2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83</v>
      </c>
      <c r="O11" s="549"/>
      <c r="P11" s="549"/>
      <c r="Q11" s="547">
        <f>IF(ISNUMBER(Datos!P11),Datos!P11,0)</f>
        <v>31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17</v>
      </c>
      <c r="AD11" s="549"/>
      <c r="AE11" s="563"/>
      <c r="AF11" s="551" t="str">
        <f>IF(ISNUMBER(IF(J_V="SI",Datos!L11,Datos!L11+Datos!AB11)-IF(Monitorios="SI",Datos!CD11,0)),
                          IF(J_V="SI",Datos!L11,Datos!L11+Datos!AB11)-IF(Monitorios="SI",Datos!CD11,0),
                          " - ")</f>
        <v xml:space="preserve"> - </v>
      </c>
      <c r="AG11" s="549"/>
      <c r="AH11" s="549">
        <f>IF(ISNUMBER(Datos!AB11),Datos!AB11,"-")</f>
        <v>49</v>
      </c>
      <c r="AI11" s="549"/>
      <c r="AJ11" s="549"/>
      <c r="AK11" s="549"/>
      <c r="AL11" s="550"/>
      <c r="AM11" s="766">
        <f>IF(ISNUMBER(Datos!R11),Datos!R11," - ")</f>
        <v>527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65</v>
      </c>
      <c r="BD11" s="693">
        <f>IF(ISNUMBER(Datos!N11),Datos!N11," - ")</f>
        <v>266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0.81557377049180324</v>
      </c>
      <c r="BH11" s="764">
        <f>IF(ISNUMBER(((IF(J_V="SI",Datos!L11/Datos!K11,(Datos!L11+Datos!AB11)/(Datos!K11+Datos!AA11)))*11)/factor_trimestre),((IF(J_V="SI",Datos!L11/Datos!K11,(Datos!L11+Datos!AB11)/(Datos!K11+Datos!AA11)))*11)/factor_trimestre," - ")</f>
        <v>3.7839195979899496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2.7290448343079921E-2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-0.10526315789473684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150</v>
      </c>
      <c r="G14" s="1197">
        <f t="shared" si="1"/>
        <v>150</v>
      </c>
      <c r="H14" s="1198">
        <f t="shared" si="1"/>
        <v>0</v>
      </c>
      <c r="I14" s="1197">
        <f t="shared" si="1"/>
        <v>0</v>
      </c>
      <c r="J14" s="1164">
        <f t="shared" si="1"/>
        <v>0</v>
      </c>
      <c r="K14" s="1164">
        <f t="shared" si="1"/>
        <v>0</v>
      </c>
      <c r="L14" s="1198">
        <f t="shared" si="1"/>
        <v>0</v>
      </c>
      <c r="M14" s="1198">
        <f t="shared" si="1"/>
        <v>0</v>
      </c>
      <c r="N14" s="1198">
        <f t="shared" si="1"/>
        <v>172</v>
      </c>
      <c r="O14" s="1199">
        <f t="shared" si="1"/>
        <v>0</v>
      </c>
      <c r="P14" s="1199">
        <f t="shared" si="1"/>
        <v>0</v>
      </c>
      <c r="Q14" s="1198">
        <f t="shared" si="1"/>
        <v>595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723</v>
      </c>
      <c r="AD14" s="1198">
        <f t="shared" si="2"/>
        <v>0</v>
      </c>
      <c r="AE14" s="1198">
        <f t="shared" si="2"/>
        <v>0</v>
      </c>
      <c r="AF14" s="1198">
        <f t="shared" si="2"/>
        <v>165</v>
      </c>
      <c r="AG14" s="1198">
        <f t="shared" si="2"/>
        <v>0</v>
      </c>
      <c r="AH14" s="1198">
        <f t="shared" si="2"/>
        <v>97</v>
      </c>
      <c r="AI14" s="1198">
        <f t="shared" si="2"/>
        <v>0</v>
      </c>
      <c r="AJ14" s="1198">
        <f t="shared" si="2"/>
        <v>0</v>
      </c>
      <c r="AK14" s="1198">
        <f t="shared" si="2"/>
        <v>0</v>
      </c>
      <c r="AL14" s="1198">
        <f t="shared" si="2"/>
        <v>0</v>
      </c>
      <c r="AM14" s="1198">
        <f t="shared" si="2"/>
        <v>7626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436</v>
      </c>
      <c r="BD14" s="1198">
        <f t="shared" si="2"/>
        <v>707</v>
      </c>
      <c r="BE14" s="1198">
        <f t="shared" si="2"/>
        <v>0</v>
      </c>
      <c r="BF14" s="1198">
        <f t="shared" si="2"/>
        <v>0</v>
      </c>
      <c r="BG14" s="1198">
        <f>IF(ISNUMBER(Datos!K14/Datos!J14),Datos!K14/Datos!J14," - ")</f>
        <v>0.79969024264326283</v>
      </c>
      <c r="BH14" s="1202">
        <f>IF(ISNUMBER(((Datos!L14/Datos!K14)*11)/factor_trimestre),((Datos!L14/Datos!K14)*11)/factor_trimestre," - ")</f>
        <v>5.1065203357004521</v>
      </c>
      <c r="BI14" s="1198">
        <f>IF(ISNUMBER('Resol  Asuntos'!D14/NºAsuntos!G14),'Resol  Asuntos'!D14/NºAsuntos!G14," - ")</f>
        <v>0.25437572928821472</v>
      </c>
      <c r="BJ14" s="1198" t="str">
        <f>IF(ISNUMBER(Datos!CI14/Datos!CJ14),Datos!CI14/Datos!CJ14," - ")</f>
        <v xml:space="preserve"> - </v>
      </c>
      <c r="BK14" s="1198">
        <f>SUBTOTAL(9,BK8:BK13)</f>
        <v>0</v>
      </c>
      <c r="BL14" s="1198">
        <f>IF(ISNUMBER((I14-AB14+L14)/(F14)),(I14-AB14+L14)/(F14)," - ")</f>
        <v>-0.15333333333333332</v>
      </c>
      <c r="BM14" s="1203">
        <f>SUBTOTAL(9,BM9:BM13)</f>
        <v>-5.971606579700519E-2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1697</v>
      </c>
      <c r="G16" s="743">
        <f>IF(ISNUMBER(IF(D_I="SI",Datos!I16,Datos!I16+Datos!AC16)),IF(D_I="SI",Datos!I16,Datos!I16+Datos!AC16)," - ")</f>
        <v>1760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1254</v>
      </c>
      <c r="AC16" s="240">
        <f>IF(ISNUMBER(Datos!Q16),Datos!Q16," - ")</f>
        <v>57</v>
      </c>
      <c r="AD16" s="374"/>
      <c r="AE16" s="562"/>
      <c r="AF16" s="741">
        <f>IF(ISNUMBER(IF(D_I="SI",Datos!L16,Datos!L16+Datos!AF16)),IF(D_I="SI",Datos!L16,Datos!L16+Datos!AF16)," - ")</f>
        <v>2020</v>
      </c>
      <c r="AG16" s="374"/>
      <c r="AH16" s="374"/>
      <c r="AI16" s="374"/>
      <c r="AJ16" s="549"/>
      <c r="AK16" s="374"/>
      <c r="AL16" s="545"/>
      <c r="AM16" s="375">
        <f>IF(ISNUMBER(Datos!R16),Datos!R16," - ")</f>
        <v>296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244</v>
      </c>
      <c r="BD16" s="243">
        <f>IF(ISNUMBER(Datos!N16),Datos!N16," - ")</f>
        <v>704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0.79518072289156627</v>
      </c>
      <c r="BH16" s="764">
        <f>IF(ISNUMBER(((IF(D_I="SI",Datos!L16/Datos!K16,(Datos!L16+Datos!AF16)/(Datos!K16+Datos!AE16)))*11)/factor_trimestre),((IF(D_I="SI",Datos!L16/Datos!K16,(Datos!L16+Datos!AF16)/(Datos!K16+Datos!AE16)))*11)/factor_trimestre," - ")</f>
        <v>3.2216905901116424</v>
      </c>
      <c r="BI16" s="266">
        <f>IF(ISNUMBER('Resol  Asuntos'!D16/NºAsuntos!G16),'Resol  Asuntos'!D16/NºAsuntos!G16," - ")</f>
        <v>0.19457735247208932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203</v>
      </c>
      <c r="AC18" s="547">
        <f>IF(ISNUMBER(Datos!Q18),Datos!Q18," - ")</f>
        <v>1</v>
      </c>
      <c r="AD18" s="549"/>
      <c r="AE18" s="562"/>
      <c r="AF18" s="551">
        <f>IF(ISNUMBER(Datos!L18),Datos!L18,"-")</f>
        <v>245</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37</v>
      </c>
      <c r="BD18" s="693">
        <f>IF(ISNUMBER(Datos!N18),Datos!N18," - ")</f>
        <v>99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0.90222222222222226</v>
      </c>
      <c r="BH18" s="764">
        <f>IF(ISNUMBER(((IF(D_I="SI",Datos!L18/Datos!K18,(Datos!L18+Datos!AF18)/(Datos!K18+Datos!AE18)))*11)/factor_trimestre),((IF(D_I="SI",Datos!L18/Datos!K18,(Datos!L18+Datos!AF18)/(Datos!K18+Datos!AE18)))*11)/factor_trimestre," - ")</f>
        <v>2.4137931034482758</v>
      </c>
      <c r="BI18" s="763">
        <f>IF(ISNUMBER('Resol  Asuntos'!D18/NºAsuntos!G18),'Resol  Asuntos'!D18/NºAsuntos!G18," - ")</f>
        <v>0.18226600985221675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507</v>
      </c>
      <c r="C20" s="738" t="str">
        <f>Datos!A20</f>
        <v xml:space="preserve">Jdos. Vigilancia Penitenciaria                  </v>
      </c>
      <c r="D20" s="739"/>
      <c r="E20" s="1555">
        <f>IF(ISNUMBER(Datos!AQ20),Datos!AQ20," - ")</f>
        <v>0</v>
      </c>
      <c r="F20" s="552">
        <f>IF(ISNUMBER(Datos!L20+Datos!K20-Datos!J20-L20),Datos!L20+Datos!K20-Datos!J20-L20," - ")</f>
        <v>241</v>
      </c>
      <c r="G20" s="743">
        <f>IF(ISNUMBER(Datos!I20),Datos!I20," - ")</f>
        <v>241</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f>IF(ISNUMBER(Datos!K20),Datos!K20," - ")</f>
        <v>179</v>
      </c>
      <c r="AC20" s="547" t="str">
        <f>IF(ISNUMBER(Datos!Q20),Datos!Q20," - ")</f>
        <v xml:space="preserve"> - </v>
      </c>
      <c r="AD20" s="374"/>
      <c r="AE20" s="562"/>
      <c r="AF20" s="741">
        <f>IF(ISNUMBER(Datos!L20),Datos!L20,"-")</f>
        <v>242</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f>IF(ISNUMBER(Datos!N20),Datos!N20," - ")</f>
        <v>162</v>
      </c>
      <c r="BE20" s="243"/>
      <c r="BF20" s="242" t="str">
        <f>IF(ISNUMBER(Datos!BX20),Datos!BX20," - ")</f>
        <v xml:space="preserve"> - </v>
      </c>
      <c r="BG20" s="763">
        <f>IF(ISNUMBER(Datos!K20/Datos!J20),Datos!K20/Datos!J20," - ")</f>
        <v>0.99444444444444446</v>
      </c>
      <c r="BH20" s="764">
        <f>IF(ISNUMBER(((Datos!L20/Datos!K20)*11)/factor_trimestre),((Datos!L20/Datos!K20)*11)/factor_trimestre," - ")</f>
        <v>2.7039106145251397</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1938</v>
      </c>
      <c r="G23" s="1197">
        <f>SUBTOTAL(9,G16:G22)</f>
        <v>2224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1636</v>
      </c>
      <c r="AC23" s="1198">
        <f t="shared" si="5"/>
        <v>58</v>
      </c>
      <c r="AD23" s="1198">
        <f t="shared" si="5"/>
        <v>0</v>
      </c>
      <c r="AE23" s="1198">
        <f t="shared" si="5"/>
        <v>0</v>
      </c>
      <c r="AF23" s="1198">
        <f t="shared" si="5"/>
        <v>2507</v>
      </c>
      <c r="AG23" s="1198">
        <f t="shared" si="5"/>
        <v>0</v>
      </c>
      <c r="AH23" s="1198">
        <f t="shared" si="5"/>
        <v>0</v>
      </c>
      <c r="AI23" s="1198">
        <f t="shared" si="5"/>
        <v>0</v>
      </c>
      <c r="AJ23" s="1198">
        <f t="shared" si="5"/>
        <v>0</v>
      </c>
      <c r="AK23" s="1198">
        <f t="shared" si="5"/>
        <v>0</v>
      </c>
      <c r="AL23" s="1198">
        <f t="shared" si="5"/>
        <v>0</v>
      </c>
      <c r="AM23" s="1198">
        <f t="shared" si="5"/>
        <v>304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281</v>
      </c>
      <c r="BD23" s="1198">
        <f t="shared" si="5"/>
        <v>965</v>
      </c>
      <c r="BE23" s="1198">
        <f t="shared" si="5"/>
        <v>0</v>
      </c>
      <c r="BF23" s="1198">
        <f t="shared" si="5"/>
        <v>0</v>
      </c>
      <c r="BG23" s="1198">
        <f>IF(ISNUMBER(Datos!K23/Datos!J23),Datos!K23/Datos!J23," - ")</f>
        <v>0.8254288597376388</v>
      </c>
      <c r="BH23" s="1202">
        <f>IF(ISNUMBER(((Datos!L23/Datos!K23)*11)/factor_trimestre),((Datos!L23/Datos!K23)*11)/factor_trimestre," - ")</f>
        <v>3.0647921760391199</v>
      </c>
      <c r="BI23" s="1198">
        <f>SUBTOTAL(9,BI16:BI22)</f>
        <v>0.37684336232430604</v>
      </c>
      <c r="BJ23" s="1198">
        <f>SUBTOTAL(9,BJ16:BJ22)</f>
        <v>0</v>
      </c>
      <c r="BK23" s="1198">
        <f>SUBTOTAL(9,BK16:BK22)</f>
        <v>0</v>
      </c>
      <c r="BL23" s="1198">
        <f>IF(ISNUMBER((I23-AB23+L23)/(F23)),(I23-AB23+L23)/(F23)," - ")</f>
        <v>-0.84416924664602688</v>
      </c>
      <c r="BM23" s="1205">
        <f>IF(ISNUMBER((Datos!P23-Datos!Q23)/(Datos!R23-Datos!P23+Datos!Q23)),(Datos!P23-Datos!Q23)/(Datos!R23-Datos!P23+Datos!Q23)," - ")</f>
        <v>0.10144927536231885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2088</v>
      </c>
      <c r="G31" s="1117">
        <f t="shared" si="18"/>
        <v>2374</v>
      </c>
      <c r="H31" s="1119">
        <f t="shared" si="18"/>
        <v>0</v>
      </c>
      <c r="I31" s="1117">
        <f t="shared" si="18"/>
        <v>0</v>
      </c>
      <c r="J31" s="1119">
        <f t="shared" si="18"/>
        <v>0</v>
      </c>
      <c r="K31" s="1119">
        <f t="shared" si="18"/>
        <v>0</v>
      </c>
      <c r="L31" s="1180">
        <f t="shared" si="18"/>
        <v>0</v>
      </c>
      <c r="M31" s="1180">
        <f t="shared" si="18"/>
        <v>0</v>
      </c>
      <c r="N31" s="1180">
        <f t="shared" si="18"/>
        <v>172</v>
      </c>
      <c r="O31" s="1180">
        <f t="shared" si="18"/>
        <v>0</v>
      </c>
      <c r="P31" s="1180">
        <f t="shared" si="18"/>
        <v>0</v>
      </c>
      <c r="Q31" s="1119">
        <f t="shared" si="18"/>
        <v>681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1659</v>
      </c>
      <c r="AC31" s="1118">
        <f t="shared" si="19"/>
        <v>781</v>
      </c>
      <c r="AD31" s="1118">
        <f t="shared" si="19"/>
        <v>0</v>
      </c>
      <c r="AE31" s="1118">
        <f t="shared" si="19"/>
        <v>0</v>
      </c>
      <c r="AF31" s="1125">
        <f t="shared" si="19"/>
        <v>2672</v>
      </c>
      <c r="AG31" s="1125">
        <f t="shared" si="19"/>
        <v>0</v>
      </c>
      <c r="AH31" s="1125">
        <f t="shared" si="19"/>
        <v>97</v>
      </c>
      <c r="AI31" s="1125">
        <f t="shared" si="19"/>
        <v>0</v>
      </c>
      <c r="AJ31" s="1118">
        <f t="shared" si="19"/>
        <v>0</v>
      </c>
      <c r="AK31" s="1125">
        <f t="shared" si="19"/>
        <v>0</v>
      </c>
      <c r="AL31" s="1125">
        <f t="shared" si="19"/>
        <v>0</v>
      </c>
      <c r="AM31" s="1125">
        <f t="shared" si="19"/>
        <v>7930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717</v>
      </c>
      <c r="BD31" s="1117">
        <f t="shared" si="19"/>
        <v>1672</v>
      </c>
      <c r="BE31" s="1117">
        <f t="shared" si="19"/>
        <v>0</v>
      </c>
      <c r="BF31" s="1127">
        <f t="shared" si="19"/>
        <v>0</v>
      </c>
      <c r="BG31" s="1223">
        <f>IF(ISNUMBER(Datos!K31/Datos!J31),Datos!K31/Datos!J31," - ")</f>
        <v>0.81270732329675943</v>
      </c>
      <c r="BH31" s="1223">
        <f>IF(ISNUMBER(((Datos!L31/Datos!K31)*11)/factor_trimestre),((Datos!L31/Datos!K31)*11)/factor_trimestre," - ")</f>
        <v>4.0577708006279432</v>
      </c>
      <c r="BI31" s="1103">
        <f>IF(ISNUMBER(Datos!J31/Datos!I31),Datos!J31/Datos!I31," - ")</f>
        <v>0.67534034120282616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-0.79454022988505746</v>
      </c>
      <c r="BM31" s="1188">
        <f>IF(ISNUMBER((Datos!P31-Datos!Q31+R31)/(Datos!R31-Datos!P31+Datos!Q31-R31)),(Datos!P31-Datos!Q31+R31)/(Datos!R31-Datos!P31+Datos!Q31-R31)," - ")</f>
        <v>-1.2453300124533001E-2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593.5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2.3295709014312749</v>
      </c>
      <c r="F33" s="673">
        <f>IF(ISNUMBER(STDEV(F8:F30)),STDEV(F8:F30),"-")</f>
        <v>841.37305581271085</v>
      </c>
      <c r="G33" s="674">
        <f>IF(ISNUMBER(STDEV(G8:G30)),STDEV(G8:G30),"-")</f>
        <v>876.5718942073637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648.86488798296273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170.79305216157556</v>
      </c>
      <c r="BD33" s="673"/>
      <c r="BE33" s="673">
        <f>IF(ISNUMBER(STDEV(BE8:BE30)),STDEV(BE8:BE30),"-")</f>
        <v>0</v>
      </c>
      <c r="BF33" s="678">
        <f>IF(ISNUMBER(STDEV(BF8:BF30)),STDEV(BF8:BF30),"-")</f>
        <v>0</v>
      </c>
      <c r="BG33" s="1052">
        <f>IF(ISNUMBER(STDEV(BG8:BG30)),STDEV(BG8:BG30),"-")</f>
        <v>0.10979682400227457</v>
      </c>
      <c r="BH33" s="1058">
        <f>IF(ISNUMBER(STDEV(BH8:BH30)),STDEV(BH8:BH30),"-")</f>
        <v>3.923026270687088</v>
      </c>
      <c r="BI33" s="273">
        <f>IF(ISNUMBER(STDEV(BI8:BI30)),STDEV(BI8:BI30),"-")</f>
        <v>8.8978832804982533E-2</v>
      </c>
      <c r="BJ33" s="244" t="str">
        <f>IF(ISNUMBER(BL33/BM33),BL33/BM33," - ")</f>
        <v xml:space="preserve"> - </v>
      </c>
      <c r="BK33" s="709"/>
      <c r="BL33" s="681">
        <f>IF(ISNUMBER(STDEV(BL8:BL30)),STDEV(BL8:BL30),"-")</f>
        <v>0.48849475899060751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sn3zwgCR/JjgSPQdDuQU+zk5cN1PKAVENVAgp+CKSnW3fQDmf78oZcnbEB7lJN/QSyopgPv5e5xYScaaHPokw==" saltValue="ulsrG9oHXx8S+I9W2ZBT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LOGROÑO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3 al 3</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555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697</v>
      </c>
      <c r="AA9" s="551" t="str">
        <f>IF(ISNUMBER(IF(J_V="SI",Datos!L9,Datos!L9+Datos!AB9)-IF(Monitorios="SI",Datos!CD9,0)),
                          IF(J_V="SI",Datos!L9,Datos!L9+Datos!AB9)-IF(Monitorios="SI",Datos!CD9,0),
                          " - ")</f>
        <v xml:space="preserve"> - </v>
      </c>
      <c r="AB9" s="549"/>
      <c r="AC9" s="549"/>
      <c r="AD9" s="563"/>
      <c r="AE9" s="563">
        <f>IF(ISNUMBER(Datos!R9),Datos!R9," - ")</f>
        <v>6886</v>
      </c>
      <c r="AF9" s="693" t="str">
        <f>IF(ISNUMBER(Datos!BV9),Datos!BV9," - ")</f>
        <v xml:space="preserve"> - </v>
      </c>
      <c r="AG9" s="552" t="str">
        <f>IF(ISNUMBER(Datos!DV9),Datos!DV9," - ")</f>
        <v xml:space="preserve"> - </v>
      </c>
      <c r="AH9" s="553"/>
      <c r="AI9" s="554"/>
      <c r="AJ9" s="552">
        <f>IF(ISNUMBER(Datos!M9),Datos!M9," - ")</f>
        <v>366</v>
      </c>
      <c r="AK9" s="693">
        <f>IF(ISNUMBER(Datos!N9),Datos!N9," - ")</f>
        <v>427</v>
      </c>
      <c r="AL9" s="693" t="str">
        <f>IF(ISNUMBER(Datos!BW9),Datos!BW9," - ")</f>
        <v xml:space="preserve"> - </v>
      </c>
      <c r="AM9" s="762" t="str">
        <f>IF(ISNUMBER(Datos!BX9),Datos!BX9," - ")</f>
        <v xml:space="preserve"> - </v>
      </c>
      <c r="AN9" s="763"/>
      <c r="AO9" s="764">
        <f>IF(ISNUMBER(((NºAsuntos!I9/NºAsuntos!G9)*11)/factor_trimestre),((NºAsuntos!I9/NºAsuntos!G9)*11)/factor_trimestre," - ")</f>
        <v>4.8460943542150039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-2.0204894706886738E-2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150</v>
      </c>
      <c r="G10" s="552">
        <f>IF(ISNUMBER(Datos!I10),Datos!I10," - ")</f>
        <v>150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3</v>
      </c>
      <c r="AA10" s="551">
        <f>IF(ISNUMBER(Datos!L10),Datos!L10,"-")</f>
        <v>165</v>
      </c>
      <c r="AB10" s="549"/>
      <c r="AC10" s="549"/>
      <c r="AD10" s="563"/>
      <c r="AE10" s="563">
        <f>IF(ISNUMBER(Datos!R10),Datos!R10," - ")</f>
        <v>162</v>
      </c>
      <c r="AF10" s="693" t="str">
        <f>IF(ISNUMBER(Datos!BV10),Datos!BV10," - ")</f>
        <v xml:space="preserve"> - </v>
      </c>
      <c r="AG10" s="552" t="str">
        <f>IF(ISNUMBER(Datos!DV10),Datos!DV10," - ")</f>
        <v xml:space="preserve"> - </v>
      </c>
      <c r="AH10" s="553"/>
      <c r="AI10" s="554"/>
      <c r="AJ10" s="552">
        <f>IF(ISNUMBER(Datos!M10),Datos!M10," - ")</f>
        <v>5</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14.347826086956523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3.8461538461538464E-2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17</v>
      </c>
      <c r="AA11" s="551" t="str">
        <f>IF(ISNUMBER(IF(J_V="SI",Datos!L11,Datos!L11+Datos!AB11)-IF(Monitorios="SI",Datos!CD11,0)),
                          IF(J_V="SI",Datos!L11,Datos!L11+Datos!AB11)-IF(Monitorios="SI",Datos!CD11,0),
                          " - ")</f>
        <v xml:space="preserve"> - </v>
      </c>
      <c r="AB11" s="549"/>
      <c r="AC11" s="549"/>
      <c r="AD11" s="563"/>
      <c r="AE11" s="563">
        <f>IF(ISNUMBER(Datos!R11),Datos!R11," - ")</f>
        <v>527</v>
      </c>
      <c r="AF11" s="693" t="str">
        <f>IF(ISNUMBER(Datos!BV11),Datos!BV11," - ")</f>
        <v xml:space="preserve"> - </v>
      </c>
      <c r="AG11" s="552" t="str">
        <f>IF(ISNUMBER(Datos!DV11),Datos!DV11," - ")</f>
        <v xml:space="preserve"> - </v>
      </c>
      <c r="AH11" s="553"/>
      <c r="AI11" s="554"/>
      <c r="AJ11" s="552">
        <f>IF(ISNUMBER(Datos!M11),Datos!M11," - ")</f>
        <v>65</v>
      </c>
      <c r="AK11" s="693">
        <f>IF(ISNUMBER(Datos!N11),Datos!N11," - ")</f>
        <v>266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3.7839195979899496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2.7290448343079921E-2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51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-0.10526315789473684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150</v>
      </c>
      <c r="G14" s="1197">
        <f>SUBTOTAL(9,G8:G13)</f>
        <v>150</v>
      </c>
      <c r="H14" s="1211"/>
      <c r="I14" s="1197">
        <f t="shared" ref="I14:N14" si="1">SUBTOTAL(9,I8:I13)</f>
        <v>0</v>
      </c>
      <c r="J14" s="1164">
        <f t="shared" si="1"/>
        <v>0</v>
      </c>
      <c r="K14" s="1211">
        <f t="shared" si="1"/>
        <v>0</v>
      </c>
      <c r="L14" s="1211">
        <f t="shared" si="1"/>
        <v>0</v>
      </c>
      <c r="M14" s="1211">
        <f t="shared" si="1"/>
        <v>0</v>
      </c>
      <c r="N14" s="1211">
        <f t="shared" si="1"/>
        <v>595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723</v>
      </c>
      <c r="AA14" s="1199">
        <f t="shared" si="3"/>
        <v>165</v>
      </c>
      <c r="AB14" s="1199">
        <f t="shared" si="3"/>
        <v>0</v>
      </c>
      <c r="AC14" s="1199">
        <f t="shared" si="3"/>
        <v>0</v>
      </c>
      <c r="AD14" s="1199">
        <f t="shared" si="3"/>
        <v>0</v>
      </c>
      <c r="AE14" s="1199">
        <f t="shared" si="3"/>
        <v>7626</v>
      </c>
      <c r="AF14" s="1211">
        <f t="shared" si="3"/>
        <v>0</v>
      </c>
      <c r="AG14" s="1211">
        <f t="shared" si="3"/>
        <v>0</v>
      </c>
      <c r="AH14" s="1211">
        <f t="shared" si="3"/>
        <v>0</v>
      </c>
      <c r="AI14" s="1211">
        <f t="shared" si="3"/>
        <v>0</v>
      </c>
      <c r="AJ14" s="1211">
        <f t="shared" si="3"/>
        <v>436</v>
      </c>
      <c r="AK14" s="1211">
        <f t="shared" si="3"/>
        <v>707</v>
      </c>
      <c r="AL14" s="1211">
        <f t="shared" si="3"/>
        <v>0</v>
      </c>
      <c r="AM14" s="1211">
        <f t="shared" si="3"/>
        <v>0</v>
      </c>
      <c r="AN14" s="1211">
        <f t="shared" si="3"/>
        <v>0</v>
      </c>
      <c r="AO14" s="1203">
        <f>IF(ISNUMBER(((NºAsuntos!I14/NºAsuntos!G14)*11)/factor_trimestre),((NºAsuntos!I14/NºAsuntos!G14)*11)/factor_trimestre," - ")</f>
        <v>4.7281213535589268</v>
      </c>
      <c r="AP14" s="1213" t="str">
        <f>IF(ISNUMBER(Datos!CI14/Datos!CJ14),Datos!CI14/Datos!CJ14," - ")</f>
        <v xml:space="preserve"> - </v>
      </c>
      <c r="AQ14" s="1236">
        <f t="shared" ref="AQ14:AV14" si="4">SUBTOTAL(9,AQ9:AQ13)</f>
        <v>0</v>
      </c>
      <c r="AR14" s="1236">
        <f t="shared" si="4"/>
        <v>-5.971606579700519E-2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1697</v>
      </c>
      <c r="G16" s="552">
        <f>IF(ISNUMBER(IF(D_I="SI",Datos!I16,Datos!I16+Datos!AC16)),IF(D_I="SI",Datos!I16,Datos!I16+Datos!AC16)," - ")</f>
        <v>1760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1254</v>
      </c>
      <c r="Z16" s="805">
        <f>IF(ISNUMBER(Datos!Q16),Datos!Q16," - ")</f>
        <v>57</v>
      </c>
      <c r="AA16" s="551">
        <f>IF(ISNUMBER(IF(D_I="SI",Datos!L16,Datos!L16+Datos!AF16)),IF(D_I="SI",Datos!L16,Datos!L16+Datos!AF16)," - ")</f>
        <v>2020</v>
      </c>
      <c r="AB16" s="549"/>
      <c r="AC16" s="549"/>
      <c r="AD16" s="563"/>
      <c r="AE16" s="563">
        <f>IF(ISNUMBER(Datos!R16),Datos!R16," - ")</f>
        <v>296</v>
      </c>
      <c r="AF16" s="693" t="str">
        <f>IF(ISNUMBER(Datos!BV16),Datos!BV16," - ")</f>
        <v xml:space="preserve"> - </v>
      </c>
      <c r="AG16" s="552"/>
      <c r="AH16" s="553"/>
      <c r="AI16" s="554"/>
      <c r="AJ16" s="552">
        <f>IF(ISNUMBER(Datos!M16),Datos!M16," - ")</f>
        <v>244</v>
      </c>
      <c r="AK16" s="693">
        <f>IF(ISNUMBER(Datos!N16),Datos!N16," - ")</f>
        <v>704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3.2216905901116424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203</v>
      </c>
      <c r="Z18" s="805">
        <f>IF(ISNUMBER(Datos!Q18),Datos!Q18," - ")</f>
        <v>1</v>
      </c>
      <c r="AA18" s="551">
        <f>IF(ISNUMBER(Datos!L18),Datos!L18,"-")</f>
        <v>245</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37</v>
      </c>
      <c r="AK18" s="693">
        <f>IF(ISNUMBER(Datos!N18),Datos!N18," - ")</f>
        <v>99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2.4137931034482758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1697</v>
      </c>
      <c r="G23" s="1197">
        <f>SUBTOTAL(9,G16:G22)</f>
        <v>1983</v>
      </c>
      <c r="H23" s="1240">
        <f>SUBTOTAL(9,H16:H22)</f>
        <v>0</v>
      </c>
      <c r="I23" s="1217">
        <f>SUBTOTAL(9,I16:I22)</f>
        <v>0</v>
      </c>
      <c r="J23" s="1164">
        <f>SUBTOTAL(9,J15:J22)</f>
        <v>0</v>
      </c>
      <c r="K23" s="1240">
        <f t="shared" ref="K23:S23" si="5">SUBTOTAL(9,K16:K22)</f>
        <v>0</v>
      </c>
      <c r="L23" s="1240">
        <f t="shared" si="5"/>
        <v>0</v>
      </c>
      <c r="M23" s="1240">
        <f t="shared" si="5"/>
        <v>0</v>
      </c>
      <c r="N23" s="1240">
        <f t="shared" si="5"/>
        <v>86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1457</v>
      </c>
      <c r="Z23" s="1240">
        <f t="shared" si="6"/>
        <v>58</v>
      </c>
      <c r="AA23" s="1240">
        <f t="shared" si="6"/>
        <v>2265</v>
      </c>
      <c r="AB23" s="1240">
        <f t="shared" si="6"/>
        <v>0</v>
      </c>
      <c r="AC23" s="1240">
        <f t="shared" si="6"/>
        <v>0</v>
      </c>
      <c r="AD23" s="1240">
        <f t="shared" si="6"/>
        <v>0</v>
      </c>
      <c r="AE23" s="1240">
        <f t="shared" si="6"/>
        <v>304</v>
      </c>
      <c r="AF23" s="1240">
        <f t="shared" si="6"/>
        <v>0</v>
      </c>
      <c r="AG23" s="1240">
        <f t="shared" si="6"/>
        <v>0</v>
      </c>
      <c r="AH23" s="1240">
        <f t="shared" si="6"/>
        <v>0</v>
      </c>
      <c r="AI23" s="1240">
        <f t="shared" si="6"/>
        <v>0</v>
      </c>
      <c r="AJ23" s="1240">
        <f t="shared" si="6"/>
        <v>281</v>
      </c>
      <c r="AK23" s="1240">
        <f t="shared" si="6"/>
        <v>803</v>
      </c>
      <c r="AL23" s="1240">
        <f t="shared" si="6"/>
        <v>0</v>
      </c>
      <c r="AM23" s="1240">
        <f t="shared" si="6"/>
        <v>0</v>
      </c>
      <c r="AN23" s="1240">
        <f t="shared" si="6"/>
        <v>0</v>
      </c>
      <c r="AO23" s="1242">
        <f>IF(ISNUMBER(((NºAsuntos!I23/NºAsuntos!G23)*11)/factor_trimestre),((NºAsuntos!I23/NºAsuntos!G23)*11)/factor_trimestre," - ")</f>
        <v>3.0647921760391199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1847</v>
      </c>
      <c r="G31" s="1117">
        <f t="shared" si="12"/>
        <v>2133</v>
      </c>
      <c r="H31" s="1118">
        <f t="shared" si="12"/>
        <v>0</v>
      </c>
      <c r="I31" s="1117">
        <f t="shared" si="12"/>
        <v>0</v>
      </c>
      <c r="J31" s="1119">
        <f t="shared" si="12"/>
        <v>0</v>
      </c>
      <c r="K31" s="1117">
        <f t="shared" si="12"/>
        <v>0</v>
      </c>
      <c r="L31" s="1120">
        <f t="shared" si="12"/>
        <v>0</v>
      </c>
      <c r="M31" s="1117">
        <f t="shared" si="12"/>
        <v>0</v>
      </c>
      <c r="N31" s="1118">
        <f t="shared" si="12"/>
        <v>681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1480</v>
      </c>
      <c r="Z31" s="1124">
        <f t="shared" si="13"/>
        <v>781</v>
      </c>
      <c r="AA31" s="1125">
        <f t="shared" si="13"/>
        <v>2430</v>
      </c>
      <c r="AB31" s="1125">
        <f t="shared" si="13"/>
        <v>0</v>
      </c>
      <c r="AC31" s="1125">
        <f t="shared" si="13"/>
        <v>0</v>
      </c>
      <c r="AD31" s="1126">
        <f t="shared" si="13"/>
        <v>0</v>
      </c>
      <c r="AE31" s="1126">
        <f t="shared" si="13"/>
        <v>7930</v>
      </c>
      <c r="AF31" s="1127">
        <f t="shared" si="13"/>
        <v>0</v>
      </c>
      <c r="AG31" s="1128">
        <f t="shared" si="13"/>
        <v>0</v>
      </c>
      <c r="AH31" s="1129">
        <f t="shared" si="13"/>
        <v>0</v>
      </c>
      <c r="AI31" s="1127">
        <f t="shared" si="13"/>
        <v>0</v>
      </c>
      <c r="AJ31" s="1117">
        <f t="shared" si="13"/>
        <v>717</v>
      </c>
      <c r="AK31" s="1117">
        <f t="shared" si="13"/>
        <v>1510</v>
      </c>
      <c r="AL31" s="1117">
        <f t="shared" si="13"/>
        <v>0</v>
      </c>
      <c r="AM31" s="1130">
        <f t="shared" si="13"/>
        <v>0</v>
      </c>
      <c r="AN31" s="1120">
        <f>IF(ISNUMBER(Datos!K31/Datos!J31),Datos!K31/Datos!J31," - ")</f>
        <v>0.81270732329675943</v>
      </c>
      <c r="AO31" s="1120">
        <f>IF(ISNUMBER(FIND("06",Criterios!A8,1)),(IF(ISNUMBER(((Datos!R31/Datos!Q31)*11)/factor_trimestre),((Datos!R31/Datos!Q31)*11)/factor_trimestre," - ")),(IF(ISNUMBER(((Datos!L31/Datos!K31)*11)/factor_trimestre),((Datos!L31/Datos!K31)*11)/factor_trimestre," - ")))</f>
        <v>4.0577708006279432</v>
      </c>
      <c r="AP31" s="1131" t="str">
        <f>IF(ISNUMBER(Datos!CI31/Datos!CJ31),Datos!CI31/Datos!CJ31," - ")</f>
        <v xml:space="preserve"> - </v>
      </c>
      <c r="AQ31" s="1131">
        <f>IF(OR(ISNUMBER(FIND("01",Criterios!A8,1)),ISNUMBER(FIND("02",Criterios!A8,1)),ISNUMBER(FIND("03",Criterios!A8,1)),ISNUMBER(FIND("04",Criterios!A8,1))),(J31-Y31+K31)/(F31-K31),(I31-Y31+K31)/(F31-K31))</f>
        <v>-0.80129940443963188</v>
      </c>
      <c r="AR31" s="1131">
        <f>IF(ISNUMBER((Datos!P31-Datos!Q31+O31)/(Datos!R31-Datos!P31+Datos!Q31-O31)),(Datos!P31-Datos!Q31+O31)/(Datos!R31-Datos!P31+Datos!Q31-O31)," - ")</f>
        <v>-1.2453300124533001E-2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840.27915996213221</v>
      </c>
      <c r="G33" s="674">
        <f>IF(ISNUMBER(STDEV(G8:G30)),STDEV(G8:G30),"-")</f>
        <v>868.40809476168465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170.79305216157556</v>
      </c>
      <c r="AK33" s="276"/>
      <c r="AL33" s="276">
        <f>IF(ISNUMBER(STDEV(AL8:AL30)),STDEV(AL8:AL30),"-")</f>
        <v>0</v>
      </c>
      <c r="AM33" s="278">
        <f>IF(ISNUMBER(STDEV(AM8:AM30)),STDEV(AM8:AM30),"-")</f>
        <v>0</v>
      </c>
      <c r="AN33" s="660">
        <f>IF(ISNUMBER(STDEV(AN8:AN30)),STDEV(AN8:AN30),"-")</f>
        <v>0</v>
      </c>
      <c r="AO33" s="661">
        <f>IF(ISNUMBER(STDEV(AO8:AO30)),STDEV(AO8:AO30),"-")</f>
        <v>4.1285931496245238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hvzPzQukH46VzdruCl95+UWFwgbISIaCDXvJq7YOYxlIynj9ipu5U5SfH6FXdl5PhPkXopvPp7KtxdwK/AWXw==" saltValue="Vfyi7GnJBSUYZ5qaOSbH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8SWGihiB59ifgbqf6huBzQxEkReM+6R7Lw/zN8oDTJ3N034KxuuP3JXbAD79Y9Egvf0HOKZIFYra2YkcnxKKwQ==" saltValue="hZ6m6GmAdLHRpDCxvbVv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ODOokpBvfjvUZ2nZ9T3S7SOTj88QcwsB1MauQWQcpavKfLs7HBWIID/ph5y7Kx2z/TjWMr6n3L+jkMQqjaDxA==" saltValue="VcV1OrnT0P7TCaWCMvQQ4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LOGROÑO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0.25437572928821472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0.17987080314897008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IkdVpkM4/U3bUi37N981ZvRf7vADELSVM6ubEo5ziwO0+/n3CiP+FLvn78bkwfgIaDYSAOVK/fcQErbR5+yFg==" saltValue="B7Gev5lxEY5eL+GEEKe4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v10JVD31jStTp5NzatyC/VkCyhaXn7AKb/3I/KRLfkj3NU47oxtULAIzdKZ1cEc3FEqeV6HFn/ZDaLpf4y+CPg==" saltValue="+ynGV+xrB0pxnrHrPSwn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LOGROÑO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2859</v>
      </c>
      <c r="D9" s="452">
        <f>IF(ISNUMBER(C9/Datos!BH9),C9/Datos!BH9," - ")</f>
        <v>476.5</v>
      </c>
      <c r="E9" s="451">
        <f>IF(ISNUMBER(IF(J_V="SI",Datos!J9,Datos!J9+Datos!Z9)),IF(J_V="SI",Datos!J9,Datos!J9+Datos!Z9)," - ")</f>
        <v>1583</v>
      </c>
      <c r="F9" s="452">
        <f>IF(ISNUMBER(E9/B9),E9/B9," - ")</f>
        <v>263.83333333333331</v>
      </c>
      <c r="G9" s="451">
        <f>IF(ISNUMBER(IF(J_V="SI",Datos!K9,Datos!K9+Datos!AA9)),IF(J_V="SI",Datos!K9,Datos!K9+Datos!AA9)," - ")</f>
        <v>1293</v>
      </c>
      <c r="H9" s="452">
        <f>IF(ISNUMBER(G9/B9),G9/B9," - ")</f>
        <v>215.5</v>
      </c>
      <c r="I9" s="451">
        <f>IF(ISNUMBER(IF(J_V="SI",Datos!L9,Datos!L9+Datos!AB9)),IF(J_V="SI",Datos!L9,Datos!L9+Datos!AB9)," - ")</f>
        <v>3133</v>
      </c>
      <c r="J9" s="452">
        <f>IF(ISNUMBER(I9/B9),I9/B9," - ")</f>
        <v>522.16666666666663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150</v>
      </c>
      <c r="D10" s="452">
        <f>IF(ISNUMBER(C10/Datos!BH10),C10/Datos!BH10," - ")</f>
        <v>150</v>
      </c>
      <c r="E10" s="451">
        <f>IF(ISNUMBER(Datos!J10),Datos!J10," - ")</f>
        <v>38</v>
      </c>
      <c r="F10" s="452">
        <f>IF(ISNUMBER(E10/B10),E10/B10," - ")</f>
        <v>38</v>
      </c>
      <c r="G10" s="451">
        <f>IF(ISNUMBER(Datos!K10),Datos!K10," - ")</f>
        <v>23</v>
      </c>
      <c r="H10" s="452">
        <f>IF(ISNUMBER(G10/B10),G10/B10," - ")</f>
        <v>23</v>
      </c>
      <c r="I10" s="451">
        <f>IF(ISNUMBER(Datos!L10),Datos!L10," - ")</f>
        <v>165</v>
      </c>
      <c r="J10" s="452">
        <f>IF(ISNUMBER(I10/B10),I10/B10," - ")</f>
        <v>165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663</v>
      </c>
      <c r="D11" s="452">
        <f>IF(ISNUMBER(C11/Datos!BH11),C11/Datos!BH11," - ")</f>
        <v>663</v>
      </c>
      <c r="E11" s="451">
        <f>IF(ISNUMBER(IF(J_V="SI",Datos!J11,Datos!J11+Datos!Z11)),IF(J_V="SI",Datos!J11,Datos!J11+Datos!Z11)," - ")</f>
        <v>488</v>
      </c>
      <c r="F11" s="452">
        <f>IF(ISNUMBER(E11/B11),E11/B11," - ")</f>
        <v>488</v>
      </c>
      <c r="G11" s="451">
        <f>IF(ISNUMBER(IF(J_V="SI",Datos!K11,Datos!K11+Datos!AA11)),IF(J_V="SI",Datos!K11,Datos!K11+Datos!AA11)," - ")</f>
        <v>398</v>
      </c>
      <c r="H11" s="452">
        <f>IF(ISNUMBER(G11/B11),G11/B11," - ")</f>
        <v>398</v>
      </c>
      <c r="I11" s="451">
        <f>IF(ISNUMBER(IF(J_V="SI",Datos!L11,Datos!L11+Datos!AB11)),IF(J_V="SI",Datos!L11,Datos!L11+Datos!AB11)," - ")</f>
        <v>753</v>
      </c>
      <c r="J11" s="452">
        <f>IF(ISNUMBER(I11/B11),I11/B11," - ")</f>
        <v>753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3673</v>
      </c>
      <c r="D14" s="1147" t="str">
        <f>IF(ISNUMBER(C14/Datos!BI14),C14/Datos!BI14," - ")</f>
        <v xml:space="preserve"> - </v>
      </c>
      <c r="E14" s="1146">
        <f>SUBTOTAL(9,E8:E13)</f>
        <v>2109</v>
      </c>
      <c r="F14" s="1147">
        <f>IF(ISNUMBER(E14/B14),E14/B14," - ")</f>
        <v>263.625</v>
      </c>
      <c r="G14" s="1146">
        <f>SUBTOTAL(9,G8:G13)</f>
        <v>1714</v>
      </c>
      <c r="H14" s="1147">
        <f>IF(ISNUMBER(G14/B14),G14/B14," - ")</f>
        <v>214.25</v>
      </c>
      <c r="I14" s="1146">
        <f>SUBTOTAL(9,I8:I13)</f>
        <v>4052</v>
      </c>
      <c r="J14" s="1147">
        <f>IF(ISNUMBER(I14/B14),I14/B14," - ")</f>
        <v>506.5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1760</v>
      </c>
      <c r="D16" s="452">
        <f>IF(ISNUMBER(C16/Datos!BH16),C16/Datos!BH16," - ")</f>
        <v>586.66666666666663</v>
      </c>
      <c r="E16" s="451">
        <f>IF(ISNUMBER(IF(D_I="SI",Datos!J16,Datos!J16+Datos!AD16)),IF(D_I="SI",Datos!J16,Datos!J16+Datos!AD16)," - ")</f>
        <v>1577</v>
      </c>
      <c r="F16" s="452">
        <f>IF(ISNUMBER(E16/B16),E16/B16," - ")</f>
        <v>525.66666666666663</v>
      </c>
      <c r="G16" s="451">
        <f>IF(ISNUMBER(IF(D_I="SI",Datos!K16,Datos!K16+Datos!AE16)),IF(D_I="SI",Datos!K16,Datos!K16+Datos!AE16)," - ")</f>
        <v>1254</v>
      </c>
      <c r="H16" s="452">
        <f>IF(ISNUMBER(G16/B16),G16/B16," - ")</f>
        <v>418</v>
      </c>
      <c r="I16" s="451">
        <f>IF(ISNUMBER(IF(D_I="SI",Datos!L16,Datos!L16+Datos!AF16)),IF(D_I="SI",Datos!L16,Datos!L16+Datos!AF16)," - ")</f>
        <v>2020</v>
      </c>
      <c r="J16" s="452">
        <f>IF(ISNUMBER(I16/B16),I16/B16," - ")</f>
        <v>673.33333333333337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223</v>
      </c>
      <c r="D18" s="452">
        <f>IF(ISNUMBER(C18/Datos!BH18),C18/Datos!BH18," - ")</f>
        <v>223</v>
      </c>
      <c r="E18" s="451">
        <f>IF(ISNUMBER(IF(D_I="SI",Datos!J18,Datos!J18+Datos!AD18)),IF(D_I="SI",Datos!J18,Datos!J18+Datos!AD18)," - ")</f>
        <v>225</v>
      </c>
      <c r="F18" s="452">
        <f>IF(ISNUMBER(E18/B18),E18/B18," - ")</f>
        <v>225</v>
      </c>
      <c r="G18" s="451">
        <f>IF(ISNUMBER(IF(D_I="SI",Datos!K18,Datos!K18+Datos!AE18)),IF(D_I="SI",Datos!K18,Datos!K18+Datos!AE18)," - ")</f>
        <v>203</v>
      </c>
      <c r="H18" s="452">
        <f>IF(ISNUMBER(G18/B18),G18/B18," - ")</f>
        <v>203</v>
      </c>
      <c r="I18" s="451">
        <f>IF(ISNUMBER(IF(D_I="SI",Datos!L18,Datos!L18+Datos!AF18)),IF(D_I="SI",Datos!L18,Datos!L18+Datos!AF18)," - ")</f>
        <v>245</v>
      </c>
      <c r="J18" s="452">
        <f>IF(ISNUMBER(I18/B18),I18/B18," - ")</f>
        <v>245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f>IF(ISNUMBER(Datos!I20),Datos!I20," - ")</f>
        <v>241</v>
      </c>
      <c r="D20" s="452" t="str">
        <f>IF(ISNUMBER(C20/Datos!BH20),C20/Datos!BH20," - ")</f>
        <v xml:space="preserve"> - </v>
      </c>
      <c r="E20" s="451">
        <f>IF(ISNUMBER(Datos!J20),Datos!J20," - ")</f>
        <v>180</v>
      </c>
      <c r="F20" s="452" t="str">
        <f>IF(ISNUMBER(E20/B20),E20/B20," - ")</f>
        <v xml:space="preserve"> - </v>
      </c>
      <c r="G20" s="451">
        <f>IF(ISNUMBER(Datos!K20),Datos!K20," - ")</f>
        <v>179</v>
      </c>
      <c r="H20" s="452" t="str">
        <f>IF(ISNUMBER(G20/B20),G20/B20," - ")</f>
        <v xml:space="preserve"> - </v>
      </c>
      <c r="I20" s="451">
        <f>IF(ISNUMBER(Datos!L20),Datos!L20," - ")</f>
        <v>242</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2224</v>
      </c>
      <c r="D23" s="1147" t="str">
        <f>IF(ISNUMBER(C23/Datos!BI23),C23/Datos!BI23," - ")</f>
        <v xml:space="preserve"> - </v>
      </c>
      <c r="E23" s="1146">
        <f>SUBTOTAL(9,E15:E22)</f>
        <v>1982</v>
      </c>
      <c r="F23" s="1147">
        <f>IF(ISNUMBER(E23/B23),E23/B23," - ")</f>
        <v>495.5</v>
      </c>
      <c r="G23" s="1146">
        <f>SUBTOTAL(9,G15:G22)</f>
        <v>1636</v>
      </c>
      <c r="H23" s="1147">
        <f>IF(ISNUMBER(G23/B23),G23/B23," - ")</f>
        <v>409</v>
      </c>
      <c r="I23" s="1146">
        <f>SUBTOTAL(9,I15:I22)</f>
        <v>2507</v>
      </c>
      <c r="J23" s="1147">
        <f>IF(ISNUMBER(I23/B23),I23/B23," - ")</f>
        <v>626.75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5897</v>
      </c>
      <c r="D31" s="1085" t="str">
        <f>IF(ISNUMBER(C31/Datos!BI31),C31/Datos!BI31," - ")</f>
        <v xml:space="preserve"> - </v>
      </c>
      <c r="E31" s="1084">
        <f>SUBTOTAL(9,E9:E30)</f>
        <v>4091</v>
      </c>
      <c r="F31" s="1085">
        <f>IF(ISNUMBER(E31/B31),E31/B31," - ")</f>
        <v>371.90909090909093</v>
      </c>
      <c r="G31" s="1084">
        <f>SUBTOTAL(9,G9:G30)</f>
        <v>3350</v>
      </c>
      <c r="H31" s="1085">
        <f>IF(ISNUMBER(G31/B31),G31/B31," - ")</f>
        <v>304.54545454545456</v>
      </c>
      <c r="I31" s="1084">
        <f>SUBTOTAL(9,I9:I30)</f>
        <v>6559</v>
      </c>
      <c r="J31" s="1085">
        <f>IF(ISNUMBER(I31/B31),I31/B31," - ")</f>
        <v>596.27272727272725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AE75gQvHeHcwwB14ZXsRlhsvdVOPaytebSgC5nnabsQxHgSNyvRkqm4GEyQgPUQeplagwYYAgZjVTi2YwPgTA==" saltValue="7dCiwhRBgePbytHolj607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LOGROÑO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3 al 3</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150</v>
      </c>
      <c r="G10" s="906">
        <f>IF(ISNUMBER(Datos!I10),Datos!I10," - ")</f>
        <v>150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165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14.347826086956523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-0.10526315789473684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150</v>
      </c>
      <c r="G14" s="1256">
        <f t="shared" si="0"/>
        <v>150</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6</v>
      </c>
      <c r="AE14" s="1257">
        <f t="shared" si="1"/>
        <v>0</v>
      </c>
      <c r="AF14" s="1257">
        <f t="shared" si="1"/>
        <v>165</v>
      </c>
      <c r="AG14" s="1257">
        <f t="shared" si="1"/>
        <v>0</v>
      </c>
      <c r="AH14" s="1257">
        <f t="shared" si="1"/>
        <v>51</v>
      </c>
      <c r="AI14" s="1257">
        <f t="shared" si="1"/>
        <v>0</v>
      </c>
      <c r="AJ14" s="1257">
        <f t="shared" si="1"/>
        <v>0</v>
      </c>
      <c r="AK14" s="1257">
        <f t="shared" si="1"/>
        <v>0</v>
      </c>
      <c r="AL14" s="1257">
        <f t="shared" si="1"/>
        <v>5</v>
      </c>
      <c r="AM14" s="1257">
        <f t="shared" si="1"/>
        <v>14</v>
      </c>
      <c r="AN14" s="1257">
        <f t="shared" si="1"/>
        <v>0</v>
      </c>
      <c r="AO14" s="1257">
        <f t="shared" si="1"/>
        <v>0</v>
      </c>
      <c r="AP14" s="1262">
        <f>IF(ISNUMBER(((Datos!L14/Datos!K14)*11)/factor_trimestre),((Datos!L14/Datos!K14)*11)/factor_trimestre," - ")</f>
        <v>5.1065203357004521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-0.15333333333333332</v>
      </c>
      <c r="AU14" s="1257" t="str">
        <f>IF(ISNUMBER((DatosP!#REF!-DatosP!#REF!+DatosP!#REF!)/(DatosP!#REF!+DatosP!#REF!-DatosP!#REF!-DatosP!#REF!)),(DatosP!#REF!-DatosP!#REF!+DatosP!#REF!)/(DatosP!#REF!+DatosP!#REF!-DatosP!#REF!-DatosP!#REF!)," - ")</f>
        <v xml:space="preserve"> - </v>
      </c>
      <c r="AV14" s="1263">
        <f>SUBTOTAL(9,AV9:AV13)</f>
        <v>-0.10526315789473684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3.0647921760391199</v>
      </c>
      <c r="AQ23" s="1262">
        <f>IF(ISNUMBER(((Datos!M23/Datos!L23)*11)/factor_trimestre),((Datos!M23/Datos!L23)*11)/factor_trimestre," - ")</f>
        <v>0.2241723175109693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0.10144927536231885</v>
      </c>
      <c r="AW23" s="1265">
        <f>IF(ISNUMBER((Datos!Q23-Datos!R23)/(Datos!S23-Datos!Q23+Datos!R23)),(Datos!Q23-Datos!R23)/(Datos!S23-Datos!Q23+Datos!R23)," - ")</f>
        <v>-0.12184249628528974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150</v>
      </c>
      <c r="G31" s="1278">
        <f t="shared" si="8"/>
        <v>150</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6</v>
      </c>
      <c r="AE31" s="1284">
        <f t="shared" si="9"/>
        <v>0</v>
      </c>
      <c r="AF31" s="1285">
        <f t="shared" si="9"/>
        <v>165</v>
      </c>
      <c r="AG31" s="1285">
        <f t="shared" si="9"/>
        <v>0</v>
      </c>
      <c r="AH31" s="1285">
        <f t="shared" si="9"/>
        <v>51</v>
      </c>
      <c r="AI31" s="1285">
        <f t="shared" si="9"/>
        <v>0</v>
      </c>
      <c r="AJ31" s="1286">
        <f t="shared" si="9"/>
        <v>0</v>
      </c>
      <c r="AK31" s="1286">
        <f t="shared" si="9"/>
        <v>0</v>
      </c>
      <c r="AL31" s="1278">
        <f t="shared" si="9"/>
        <v>5</v>
      </c>
      <c r="AM31" s="1278">
        <f t="shared" si="9"/>
        <v>14</v>
      </c>
      <c r="AN31" s="1278">
        <f t="shared" si="9"/>
        <v>0</v>
      </c>
      <c r="AO31" s="1278">
        <f t="shared" si="9"/>
        <v>0</v>
      </c>
      <c r="AP31" s="1278">
        <f>IF(ISNUMBER(((Datos!L31/Datos!K31)*11)/factor_trimestre),((Datos!L31/Datos!K31)*11)/factor_trimestre," - ")</f>
        <v>4.0577708006279432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-0.15333333333333332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-1.2453300124533001E-2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82.158383625774917</v>
      </c>
      <c r="G33" s="1007">
        <f>IF(ISNUMBER(STDEV(G8:G30)),STDEV(G8:G30),"-")</f>
        <v>82.158383625774917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2.5819888974716112</v>
      </c>
      <c r="AM33" s="1006"/>
      <c r="AN33" s="1006">
        <f>IF(ISNUMBER(STDEV(AN8:AN30)),STDEV(AN8:AN30),"-")</f>
        <v>0</v>
      </c>
      <c r="AO33" s="1012">
        <f>IF(ISNUMBER(STDEV(AO8:AO30)),STDEV(AO8:AO30),"-")</f>
        <v>0</v>
      </c>
      <c r="AP33" s="1065">
        <f>IF(ISNUMBER(STDEV(AP8:AP30)),STDEV(AP8:AP30),"-")</f>
        <v>6.012171544750764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ryyDjFsFAyC443cVhVUHYMz011L+iQiaRX7ltLakjRq1cEvq7wA5Gjtf6M3eGw6DK5zLRDk5JRAKXdkTZ9uPA==" saltValue="R/3PMetmhGoc0BJU1jM7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276</v>
      </c>
      <c r="B3" s="439" t="str">
        <f>Criterios!A10 &amp;"  "&amp;Criterios!B10</f>
        <v>Provincias  LA RIOJA</v>
      </c>
      <c r="C3" s="463"/>
      <c r="F3" s="436"/>
      <c r="G3" s="436"/>
      <c r="H3" s="436"/>
    </row>
    <row r="4" spans="1:15" ht="13.5" thickBot="1">
      <c r="A4" s="436"/>
      <c r="B4" s="439" t="str">
        <f>Criterios!A11 &amp;"  "&amp;Criterios!B11</f>
        <v>Resumenes por Partidos Judiciales  LOGROÑO</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8+01Iuvp1yLYJ5Ko6+oj9U24QxEOCcp/Fqg0DVumUUlE62B1X5L8rWDWvT6IMxenqHzcXm0ammggJMufkdaCg==" saltValue="iQGOTjAJEGfO0tIynWTk4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LOGROÑO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366</v>
      </c>
      <c r="E9" s="452">
        <f t="shared" ref="E9:E14" si="0">IF(ISNUMBER(D9/B9),D9/B9," - ")</f>
        <v>61</v>
      </c>
      <c r="F9" s="451">
        <f>IF(ISNUMBER(Datos!N9),Datos!N9," - ")</f>
        <v>427</v>
      </c>
      <c r="G9" s="452">
        <f t="shared" ref="G9:G14" si="1">IF(ISNUMBER(F9/B9),F9/B9," - ")</f>
        <v>71.166666666666671</v>
      </c>
      <c r="H9" s="451">
        <f>IF(ISNUMBER(Datos!O9),Datos!O9," - ")</f>
        <v>699</v>
      </c>
      <c r="I9" s="452">
        <f>IF(ISNUMBER(H9/B9),H9/B9," - ")</f>
        <v>116.5</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14</v>
      </c>
      <c r="G10" s="452">
        <f>IF(ISNUMBER(F10/B10),F10/B10," - ")</f>
        <v>14</v>
      </c>
      <c r="H10" s="451">
        <f>IF(ISNUMBER(Datos!O10),Datos!O10," - ")</f>
        <v>7</v>
      </c>
      <c r="I10" s="452">
        <f t="shared" ref="I10:I13" si="2">IF(ISNUMBER(H10/B10),H10/B10," - ")</f>
        <v>7</v>
      </c>
    </row>
    <row r="11" spans="1:9">
      <c r="A11" s="450" t="str">
        <f>Datos!A11</f>
        <v xml:space="preserve">Jdos. Familia                                   </v>
      </c>
      <c r="B11" s="480">
        <f>Datos!AO11</f>
        <v>1</v>
      </c>
      <c r="C11" s="458">
        <f>Datos!AQ11</f>
        <v>1</v>
      </c>
      <c r="D11" s="451">
        <f>IF(ISNUMBER(Datos!M11),Datos!M11," - ")</f>
        <v>65</v>
      </c>
      <c r="E11" s="452">
        <f t="shared" si="0"/>
        <v>65</v>
      </c>
      <c r="F11" s="451">
        <f>IF(ISNUMBER(Datos!N11),Datos!N11," - ")</f>
        <v>266</v>
      </c>
      <c r="G11" s="452">
        <f t="shared" si="1"/>
        <v>266</v>
      </c>
      <c r="H11" s="451">
        <f>IF(ISNUMBER(Datos!O11),Datos!O11," - ")</f>
        <v>75</v>
      </c>
      <c r="I11" s="452">
        <f t="shared" si="2"/>
        <v>75</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436</v>
      </c>
      <c r="E14" s="1147">
        <f t="shared" si="0"/>
        <v>54.5</v>
      </c>
      <c r="F14" s="1146">
        <f>SUBTOTAL(9,F9:F13)</f>
        <v>707</v>
      </c>
      <c r="G14" s="1147">
        <f t="shared" si="1"/>
        <v>88.375</v>
      </c>
      <c r="H14" s="1146">
        <f>SUBTOTAL(9,H9:H13)</f>
        <v>781</v>
      </c>
      <c r="I14" s="1147">
        <f>IF(ISNUMBER(H14/B14),H14/B14," - ")</f>
        <v>97.625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244</v>
      </c>
      <c r="E16" s="452">
        <f t="shared" ref="E16:E23" si="3">IF(ISNUMBER(D16/B16),D16/B16," - ")</f>
        <v>81.333333333333329</v>
      </c>
      <c r="F16" s="451">
        <f>IF(ISNUMBER(Datos!N16),Datos!N16," - ")</f>
        <v>704</v>
      </c>
      <c r="G16" s="452">
        <f t="shared" ref="G16:G23" si="4">IF(ISNUMBER(F16/B16),F16/B16," - ")</f>
        <v>234.66666666666666</v>
      </c>
      <c r="H16" s="451">
        <f>IF(ISNUMBER(Datos!O16),Datos!O16," - ")</f>
        <v>32</v>
      </c>
      <c r="I16" s="452">
        <f t="shared" ref="I16:I22" si="5">IF(ISNUMBER(H16/B16),H16/B16," - ")</f>
        <v>10.666666666666666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37</v>
      </c>
      <c r="E18" s="452">
        <f>IF(ISNUMBER(D18/B18),D18/B18," - ")</f>
        <v>37</v>
      </c>
      <c r="F18" s="451">
        <f>IF(ISNUMBER(Datos!N18),Datos!N18," - ")</f>
        <v>99</v>
      </c>
      <c r="G18" s="452">
        <f>IF(ISNUMBER(F18/B18),F18/B18," - ")</f>
        <v>99</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f>IF(ISNUMBER(Datos!N20),Datos!N20," - ")</f>
        <v>162</v>
      </c>
      <c r="G20" s="452" t="str">
        <f t="shared" si="4"/>
        <v xml:space="preserve"> - </v>
      </c>
      <c r="H20" s="451">
        <f>IF(ISNUMBER(Datos!O20),Datos!O20," - ")</f>
        <v>0</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281</v>
      </c>
      <c r="E23" s="1147">
        <f t="shared" si="3"/>
        <v>70.25</v>
      </c>
      <c r="F23" s="1146">
        <f>SUBTOTAL(9,F16:F22)</f>
        <v>965</v>
      </c>
      <c r="G23" s="1147">
        <f t="shared" si="4"/>
        <v>241.25</v>
      </c>
      <c r="H23" s="1146">
        <f>SUBTOTAL(9,H16:H22)</f>
        <v>33</v>
      </c>
      <c r="I23" s="1147">
        <f>IF(ISNUMBER(H23/B23),H23/B23," - ")</f>
        <v>8.25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717</v>
      </c>
      <c r="E31" s="1085">
        <f>IF(ISNUMBER(D31/B31),D31/B31," - ")</f>
        <v>65.181818181818187</v>
      </c>
      <c r="F31" s="1084">
        <f>SUBTOTAL(9,F8:F30)</f>
        <v>1672</v>
      </c>
      <c r="G31" s="1085">
        <f>IF(ISNUMBER(F31/B31),F31/B31," - ")</f>
        <v>152</v>
      </c>
      <c r="H31" s="1084">
        <f>SUBTOTAL(9,H8:H30)</f>
        <v>814</v>
      </c>
      <c r="I31" s="1085">
        <f>IF(ISNUMBER(H31/B31),H31/B31," - ")</f>
        <v>74</v>
      </c>
    </row>
    <row r="34" spans="1:1">
      <c r="A34" s="439" t="str">
        <f>Criterios!A4</f>
        <v>Fecha Informe: 06 may. 2023</v>
      </c>
    </row>
    <row r="39" spans="1:1">
      <c r="A39" s="462"/>
    </row>
  </sheetData>
  <sheetProtection algorithmName="SHA-512" hashValue="weXhOiGtPuq0vXcK3pdX9csdIxsSqbygSAi8ishslgzTvxad4Xt10nHbhRb/SZtNZFdjo86SPoSaxN88BijD6g==" saltValue="f714lVk42/20gpILcvVA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LOGROÑO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555</v>
      </c>
      <c r="C9" s="489">
        <f>IF(ISNUMBER(Datos!Q9),Datos!Q9," - ")</f>
        <v>697</v>
      </c>
      <c r="D9" s="456">
        <f>IF(ISNUMBER(Datos!R9),Datos!R9," - ")</f>
        <v>6886</v>
      </c>
    </row>
    <row r="10" spans="1:4">
      <c r="A10" s="450" t="str">
        <f>Datos!A10</f>
        <v>Jdos. Violencia contra la mujer</v>
      </c>
      <c r="B10" s="488">
        <f>IF(ISNUMBER(Datos!P10),Datos!P10," - ")</f>
        <v>9</v>
      </c>
      <c r="C10" s="489">
        <f>IF(ISNUMBER(Datos!Q10),Datos!Q10," - ")</f>
        <v>3</v>
      </c>
      <c r="D10" s="456">
        <f>IF(ISNUMBER(Datos!R10),Datos!R10," - ")</f>
        <v>162</v>
      </c>
    </row>
    <row r="11" spans="1:4">
      <c r="A11" s="450" t="str">
        <f>Datos!A11</f>
        <v xml:space="preserve">Jdos. Familia                                   </v>
      </c>
      <c r="B11" s="488">
        <f>IF(ISNUMBER(Datos!P11),Datos!P11," - ")</f>
        <v>31</v>
      </c>
      <c r="C11" s="489">
        <f>IF(ISNUMBER(Datos!Q11),Datos!Q11," - ")</f>
        <v>17</v>
      </c>
      <c r="D11" s="456">
        <f>IF(ISNUMBER(Datos!R11),Datos!R11," - ")</f>
        <v>527</v>
      </c>
    </row>
    <row r="12" spans="1:4">
      <c r="A12" s="450" t="str">
        <f>Datos!A12</f>
        <v xml:space="preserve">Jdos. 1ª Instª. e Instr.                        </v>
      </c>
      <c r="B12" s="488">
        <f>IF(ISNUMBER(Datos!P12),Datos!P12," - ")</f>
        <v>0</v>
      </c>
      <c r="C12" s="489">
        <f>IF(ISNUMBER(Datos!Q12),Datos!Q12," - ")</f>
        <v>6</v>
      </c>
      <c r="D12" s="456">
        <f>IF(ISNUMBER(Datos!R12),Datos!R12," - ")</f>
        <v>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595</v>
      </c>
      <c r="C14" s="1150">
        <f>SUBTOTAL(9,C9:C13)</f>
        <v>723</v>
      </c>
      <c r="D14" s="1148">
        <f>SUBTOTAL(9,D9:D13)</f>
        <v>7626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85</v>
      </c>
      <c r="C16" s="489">
        <f>IF(ISNUMBER(Datos!Q16),Datos!Q16," - ")</f>
        <v>57</v>
      </c>
      <c r="D16" s="456">
        <f>IF(ISNUMBER(Datos!R16),Datos!R16," - ")</f>
        <v>296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1</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86</v>
      </c>
      <c r="C23" s="1150">
        <f>SUBTOTAL(9,C16:C22)</f>
        <v>58</v>
      </c>
      <c r="D23" s="1148">
        <f>SUBTOTAL(9,D16:D22)</f>
        <v>304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681</v>
      </c>
      <c r="C31" s="1089">
        <f>SUBTOTAL(9,C8:C30)</f>
        <v>781</v>
      </c>
      <c r="D31" s="1090">
        <f>SUBTOTAL(9,D8:D30)</f>
        <v>7930</v>
      </c>
    </row>
    <row r="32" spans="1:4" ht="7.5" customHeight="1"/>
    <row r="33" spans="1:1" ht="6" customHeight="1"/>
    <row r="34" spans="1:1">
      <c r="A34" s="439" t="str">
        <f>Criterios!A4</f>
        <v>Fecha Informe: 06 may. 2023</v>
      </c>
    </row>
    <row r="39" spans="1:1">
      <c r="A39" s="462"/>
    </row>
  </sheetData>
  <sheetProtection algorithmName="SHA-512" hashValue="QMSQCnZyBF12NCNGu0GKGOdgH+p3WlLdjQbgHO/3Idv4Lyx4O/XhPPjQhw/kdZuShZHz1az4w3YYwE7fe/YHBw==" saltValue="RLT9fkaBUw9GCmwxJlGF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LOGROÑO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9.6662830840046024E-2</v>
      </c>
      <c r="C9" s="515">
        <f>IF(ISNUMBER(
   IF(J_V="SI",(Datos!J9-Datos!T9)/Datos!T9,(Datos!J9+Datos!Z9-(Datos!T9+Datos!AH9))/(Datos!T9+Datos!AH9))
     ),IF(J_V="SI",(Datos!J9-Datos!T9)/Datos!T9,(Datos!J9+Datos!Z9-(Datos!T9+Datos!AH9))/(Datos!T9+Datos!AH9))," - ")</f>
        <v>0.21956856702619415</v>
      </c>
      <c r="D9" s="515">
        <f>IF(ISNUMBER(
   IF(J_V="SI",(Datos!K9-Datos!U9)/Datos!U9,(Datos!K9+Datos!AA9-(Datos!U9+Datos!AI9))/(Datos!U9+Datos!AI9))
     ),IF(J_V="SI",(Datos!K9-Datos!U9)/Datos!U9,(Datos!K9+Datos!AA9-(Datos!U9+Datos!AI9))/(Datos!U9+Datos!AI9))," - ")</f>
        <v>6.8595041322314046E-2</v>
      </c>
      <c r="E9" s="515">
        <f>IF(ISNUMBER(
   IF(J_V="SI",(Datos!L9-Datos!V9)/Datos!V9,(Datos!L9+Datos!AB9-(Datos!V9+Datos!AJ9))/(Datos!V9+Datos!AJ9))
     ),IF(J_V="SI",(Datos!L9-Datos!V9)/Datos!V9,(Datos!L9+Datos!AB9-(Datos!V9+Datos!AJ9))/(Datos!V9+Datos!AJ9))," - ")</f>
        <v>0.16252319109461966</v>
      </c>
      <c r="F9" s="515">
        <f>IF(ISNUMBER((Datos!M9-Datos!W9)/Datos!W9),(Datos!M9-Datos!W9)/Datos!W9," - ")</f>
        <v>0.2119205298013245</v>
      </c>
      <c r="G9" s="516">
        <f>IF(ISNUMBER((Datos!N9-Datos!X9)/Datos!X9),(Datos!N9-Datos!X9)/Datos!X9," - ")</f>
        <v>7.8282828282828287E-2</v>
      </c>
      <c r="H9" s="514">
        <f>IF(ISNUMBER(((NºAsuntos!G9/NºAsuntos!E9)-Datos!BD9)/Datos!BD9),((NºAsuntos!G9/NºAsuntos!E9)-Datos!BD9)/Datos!BD9," - ")</f>
        <v>-0.12379256877045879</v>
      </c>
      <c r="I9" s="515">
        <f>IF(ISNUMBER(((NºAsuntos!I9/NºAsuntos!G9)-Datos!BE9)/Datos!BE9),((NºAsuntos!I9/NºAsuntos!G9)-Datos!BE9)/Datos!BE9," - ")</f>
        <v>8.7898732578878522E-2</v>
      </c>
      <c r="J9" s="521">
        <f>IF(ISNUMBER((('Resol  Asuntos'!D9/NºAsuntos!G9)-Datos!BF9)/Datos!BF9),(('Resol  Asuntos'!D9/NºAsuntos!G9)-Datos!BF9)/Datos!BF9," - ")</f>
        <v>-0.13508636246455266</v>
      </c>
      <c r="K9" s="522">
        <f>IF(ISNUMBER((((NºAsuntos!C9+NºAsuntos!E9)/NºAsuntos!G9)-Datos!BG9)/Datos!BG9),(((NºAsuntos!C9+NºAsuntos!E9)/NºAsuntos!G9)-Datos!BG9)/Datos!BG9," - ")</f>
        <v>6.4496802936723288E-2</v>
      </c>
    </row>
    <row r="10" spans="1:11">
      <c r="A10" s="450" t="str">
        <f>Datos!A10</f>
        <v>Jdos. Violencia contra la mujer</v>
      </c>
      <c r="B10" s="514">
        <f>IF(ISNUMBER((Datos!I10-Datos!S10)/Datos!S10),(Datos!I10-Datos!S10)/Datos!S10," - ")</f>
        <v>0.19047619047619047</v>
      </c>
      <c r="C10" s="515">
        <f>IF(ISNUMBER((Datos!J10-Datos!T10)/Datos!T10),(Datos!J10-Datos!T10)/Datos!T10," - ")</f>
        <v>0.22580645161290322</v>
      </c>
      <c r="D10" s="515">
        <f>IF(ISNUMBER((Datos!K10-Datos!U10)/Datos!U10),(Datos!K10-Datos!U10)/Datos!U10," - ")</f>
        <v>-0.46511627906976744</v>
      </c>
      <c r="E10" s="515">
        <f>IF(ISNUMBER((Datos!L10-Datos!V10)/Datos!V10),(Datos!L10-Datos!V10)/Datos!V10," - ")</f>
        <v>0.44736842105263158</v>
      </c>
      <c r="F10" s="515">
        <f>IF(ISNUMBER((Datos!M10-Datos!W10)/Datos!W10),(Datos!M10-Datos!W10)/Datos!W10," - ")</f>
        <v>-0.66666666666666663</v>
      </c>
      <c r="G10" s="516">
        <f>IF(ISNUMBER((Datos!N10-Datos!X10)/Datos!X10),(Datos!N10-Datos!X10)/Datos!X10," - ")</f>
        <v>1.3333333333333333</v>
      </c>
      <c r="H10" s="514">
        <f>IF(ISNUMBER(((NºAsuntos!G10/NºAsuntos!E10)-Datos!BD10)/Datos!BD10),((NºAsuntos!G10/NºAsuntos!E10)-Datos!BD10)/Datos!BD10," - ")</f>
        <v>-0.56364749082007348</v>
      </c>
      <c r="I10" s="515">
        <f>IF(ISNUMBER(((NºAsuntos!I10/NºAsuntos!G10)-Datos!BE10)/Datos!BE10),((NºAsuntos!I10/NºAsuntos!G10)-Datos!BE10)/Datos!BE10," - ")</f>
        <v>1.7059496567505721</v>
      </c>
      <c r="J10" s="521">
        <f>IF(ISNUMBER((('Resol  Asuntos'!D10/NºAsuntos!G10)-Datos!BF10)/Datos!BF10),(('Resol  Asuntos'!D10/NºAsuntos!G10)-Datos!BF10)/Datos!BF10," - ")</f>
        <v>-0.37681159420289856</v>
      </c>
      <c r="K10" s="522">
        <f>IF(ISNUMBER((((NºAsuntos!C10+NºAsuntos!E10)/NºAsuntos!G10)-Datos!BG10)/Datos!BG10),(((NºAsuntos!C10+NºAsuntos!E10)/NºAsuntos!G10)-Datos!BG10)/Datos!BG10," - ")</f>
        <v>1.238715037385766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3.7558685446009391E-2</v>
      </c>
      <c r="C11" s="515">
        <f>IF(ISNUMBER(
   IF(J_V="SI",(Datos!J11-Datos!T11)/Datos!T11,(Datos!J11+Datos!Z11-(Datos!T11+Datos!AH11))/(Datos!T11+Datos!AH11))
     ),IF(J_V="SI",(Datos!J11-Datos!T11)/Datos!T11,(Datos!J11+Datos!Z11-(Datos!T11+Datos!AH11))/(Datos!T11+Datos!AH11))," - ")</f>
        <v>0.35180055401662053</v>
      </c>
      <c r="D11" s="515">
        <f>IF(ISNUMBER(
   IF(J_V="SI",(Datos!K11-Datos!U11)/Datos!U11,(Datos!K11+Datos!AA11-(Datos!U11+Datos!AI11))/(Datos!U11+Datos!AI11))
     ),IF(J_V="SI",(Datos!K11-Datos!U11)/Datos!U11,(Datos!K11+Datos!AA11-(Datos!U11+Datos!AI11))/(Datos!U11+Datos!AI11))," - ")</f>
        <v>0.44727272727272727</v>
      </c>
      <c r="E11" s="515">
        <f>IF(ISNUMBER(
   IF(J_V="SI",(Datos!L11-Datos!V11)/Datos!V11,(Datos!L11+Datos!AB11-(Datos!V11+Datos!AJ11))/(Datos!V11+Datos!AJ11))
     ),IF(J_V="SI",(Datos!L11-Datos!V11)/Datos!V11,(Datos!L11+Datos!AB11-(Datos!V11+Datos!AJ11))/(Datos!V11+Datos!AJ11))," - ")</f>
        <v>3.8620689655172416E-2</v>
      </c>
      <c r="F11" s="515">
        <f>IF(ISNUMBER((Datos!M11-Datos!W11)/Datos!W11),(Datos!M11-Datos!W11)/Datos!W11," - ")</f>
        <v>-0.32291666666666669</v>
      </c>
      <c r="G11" s="516">
        <f>IF(ISNUMBER((Datos!N11-Datos!X11)/Datos!X11),(Datos!N11-Datos!X11)/Datos!X11," - ")</f>
        <v>1.462962962962963</v>
      </c>
      <c r="H11" s="514">
        <f>IF(ISNUMBER(((NºAsuntos!G11/NºAsuntos!E11)-Datos!BD11)/Datos!BD11),((NºAsuntos!G11/NºAsuntos!E11)-Datos!BD11)/Datos!BD11," - ")</f>
        <v>7.0625931445603446E-2</v>
      </c>
      <c r="I11" s="515">
        <f>IF(ISNUMBER(((NºAsuntos!I11/NºAsuntos!G11)-Datos!BE11)/Datos!BE11),((NºAsuntos!I11/NºAsuntos!G11)-Datos!BE11)/Datos!BE11," - ")</f>
        <v>-0.28236007624328541</v>
      </c>
      <c r="J11" s="521">
        <f>IF(ISNUMBER((('Resol  Asuntos'!D11/NºAsuntos!G11)-Datos!BF11)/Datos!BF11),(('Resol  Asuntos'!D11/NºAsuntos!G11)-Datos!BF11)/Datos!BF11," - ")</f>
        <v>-0.58414758980085613</v>
      </c>
      <c r="K11" s="522">
        <f>IF(ISNUMBER((((NºAsuntos!C11+NºAsuntos!E11)/NºAsuntos!G11)-Datos!BG11)/Datos!BG11),(((NºAsuntos!C11+NºAsuntos!E11)/NºAsuntos!G11)-Datos!BG11)/Datos!BG11," - ")</f>
        <v>-0.20471105527638184</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8.8941595019270681E-2</v>
      </c>
      <c r="C14" s="1152">
        <f>IF(ISNUMBER(
   IF(J_V="SI",(Datos!J14-Datos!T14)/Datos!T14,(Datos!J14+Datos!Z14-(Datos!T14+Datos!AH14))/(Datos!T14+Datos!AH14))
     ),IF(J_V="SI",(Datos!J14-Datos!T14)/Datos!T14,(Datos!J14+Datos!Z14-(Datos!T14+Datos!AH14))/(Datos!T14+Datos!AH14))," - ")</f>
        <v>0.24792899408284025</v>
      </c>
      <c r="D14" s="1152">
        <f>IF(ISNUMBER(
   IF(J_V="SI",(Datos!K14-Datos!U14)/Datos!U14,(Datos!K14+Datos!AA14-(Datos!U14+Datos!AI14))/(Datos!U14+Datos!AI14))
     ),IF(J_V="SI",(Datos!K14-Datos!U14)/Datos!U14,(Datos!K14+Datos!AA14-(Datos!U14+Datos!AI14))/(Datos!U14+Datos!AI14))," - ")</f>
        <v>0.12172774869109948</v>
      </c>
      <c r="E14" s="1152">
        <f>IF(ISNUMBER(
   IF(J_V="SI",(Datos!L14-Datos!V14)/Datos!V14,(Datos!L14+Datos!AB14-(Datos!V14+Datos!AJ14))/(Datos!V14+Datos!AJ14))
     ),IF(J_V="SI",(Datos!L14-Datos!V14)/Datos!V14,(Datos!L14+Datos!AB14-(Datos!V14+Datos!AJ14))/(Datos!V14+Datos!AJ14))," - ")</f>
        <v>0.14625176803394624</v>
      </c>
      <c r="F14" s="1153">
        <f>IF(ISNUMBER((Datos!M14-Datos!W14)/Datos!W14),(Datos!M14-Datos!W14)/Datos!W14," - ")</f>
        <v>5.569007263922518E-2</v>
      </c>
      <c r="G14" s="1154">
        <f>IF(ISNUMBER((Datos!N14-Datos!X14)/Datos!X14),(Datos!N14-Datos!X14)/Datos!X14," - ")</f>
        <v>0.38627450980392158</v>
      </c>
      <c r="H14" s="1154">
        <f>IF(ISNUMBER(((NºAsuntos!G14/NºAsuntos!E14)-Datos!BD14)/Datos!BD14),((NºAsuntos!G14/NºAsuntos!E14)-Datos!BD14)/Datos!BD14," - ")</f>
        <v>-0.10112854656806161</v>
      </c>
      <c r="I14" s="1154">
        <f>IF(ISNUMBER(((NºAsuntos!I14/NºAsuntos!G14)-Datos!BE14)/Datos!BE14),((NºAsuntos!I14/NºAsuntos!G14)-Datos!BE14)/Datos!BE14," - ")</f>
        <v>2.1862719694206542E-2</v>
      </c>
      <c r="J14" s="1154">
        <f>IF(ISNUMBER((('Resol  Asuntos'!D14/NºAsuntos!G14)-Datos!BF14)/Datos!BF14),(('Resol  Asuntos'!D14/NºAsuntos!G14)-Datos!BF14)/Datos!BF14," - ")</f>
        <v>-0.25108648487015012</v>
      </c>
      <c r="K14" s="1154">
        <f>IF(ISNUMBER((((NºAsuntos!C14+NºAsuntos!E14)/NºAsuntos!G14)-Datos!BG14)/Datos!BG14),(((NºAsuntos!C14+NºAsuntos!E14)/NºAsuntos!G14)-Datos!BG14)/Datos!BG14," - ")</f>
        <v>1.8081853592229118E-2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0.30757800891530462</v>
      </c>
      <c r="C16" s="515">
        <f>IF(ISNUMBER(
   IF(D_I="SI",(Datos!J16-Datos!T16)/Datos!T16,(Datos!J16+Datos!AD16-(Datos!T16+Datos!AL16))/(Datos!T16+Datos!AL16))
     ),IF(D_I="SI",(Datos!J16-Datos!T16)/Datos!T16,(Datos!J16+Datos!AD16-(Datos!T16+Datos!AL16))/(Datos!T16+Datos!AL16))," - ")</f>
        <v>-6.1309523809523807E-2</v>
      </c>
      <c r="D16" s="515">
        <f>IF(ISNUMBER(
   IF(D_I="SI",(Datos!K16-Datos!U16)/Datos!U16,(Datos!K16+Datos!AE16-(Datos!U16+Datos!AM16))/(Datos!U16+Datos!AM16))
     ),IF(D_I="SI",(Datos!K16-Datos!U16)/Datos!U16,(Datos!K16+Datos!AE16-(Datos!U16+Datos!AM16))/(Datos!U16+Datos!AM16))," - ")</f>
        <v>-9.3930635838150284E-2</v>
      </c>
      <c r="E16" s="515">
        <f>IF(ISNUMBER(
   IF(D_I="SI",(Datos!L16-Datos!V16)/Datos!V16,(Datos!L16+Datos!AF16-(Datos!V16+Datos!AN16))/(Datos!V16+Datos!AN16))
     ),IF(D_I="SI",(Datos!L16-Datos!V16)/Datos!V16,(Datos!L16+Datos!AF16-(Datos!V16+Datos!AN16))/(Datos!V16+Datos!AN16))," - ")</f>
        <v>0.23020706455542023</v>
      </c>
      <c r="F16" s="515">
        <f>IF(ISNUMBER((Datos!M16-Datos!W16)/Datos!W16),(Datos!M16-Datos!W16)/Datos!W16," - ")</f>
        <v>-3.1746031746031744E-2</v>
      </c>
      <c r="G16" s="516">
        <f>IF(ISNUMBER((Datos!N16-Datos!X16)/Datos!X16),(Datos!N16-Datos!X16)/Datos!X16," - ")</f>
        <v>-3.5616438356164383E-2</v>
      </c>
      <c r="H16" s="514">
        <f>IF(ISNUMBER(((NºAsuntos!G16/NºAsuntos!E16)-Datos!BD16)/Datos!BD16),((NºAsuntos!G16/NºAsuntos!E16)-Datos!BD16)/Datos!BD16," - ")</f>
        <v>-3.475172365763627E-2</v>
      </c>
      <c r="I16" s="515">
        <f>IF(ISNUMBER(((NºAsuntos!I16/NºAsuntos!G16)-Datos!BE16)/Datos!BE16),((NºAsuntos!I16/NºAsuntos!G16)-Datos!BE16)/Datos!BE16," - ")</f>
        <v>0.35774049230039995</v>
      </c>
      <c r="J16" s="521">
        <f>IF(ISNUMBER((('Resol  Asuntos'!D16/NºAsuntos!G16)-Datos!BF16)/Datos!BF16),(('Resol  Asuntos'!D16/NºAsuntos!G16)-Datos!BF16)/Datos!BF16," - ")</f>
        <v>6.8631173894331876E-2</v>
      </c>
      <c r="K16" s="522">
        <f>IF(ISNUMBER((((NºAsuntos!C16+NºAsuntos!E16)/NºAsuntos!G16)-Datos!BG16)/Datos!BG16),(((NºAsuntos!C16+NºAsuntos!E16)/NºAsuntos!G16)-Datos!BG16)/Datos!BG16," - ")</f>
        <v>0.21709880662119158</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4.6948356807511735E-2</v>
      </c>
      <c r="C18" s="515">
        <f>IF(ISNUMBER(
   IF(D_I="SI",(Datos!J18-Datos!T18)/Datos!T18,(Datos!J18+Datos!AD18-(Datos!T18+Datos!AL18))/(Datos!T18+Datos!AL18))
     ),IF(D_I="SI",(Datos!J18-Datos!T18)/Datos!T18,(Datos!J18+Datos!AD18-(Datos!T18+Datos!AL18))/(Datos!T18+Datos!AL18))," - ")</f>
        <v>9.2233009708737865E-2</v>
      </c>
      <c r="D18" s="515">
        <f>IF(ISNUMBER(
   IF(D_I="SI",(Datos!K18-Datos!U18)/Datos!U18,(Datos!K18+Datos!AE18-(Datos!U18+Datos!AM18))/(Datos!U18+Datos!AM18))
     ),IF(D_I="SI",(Datos!K18-Datos!U18)/Datos!U18,(Datos!K18+Datos!AE18-(Datos!U18+Datos!AM18))/(Datos!U18+Datos!AM18))," - ")</f>
        <v>4.6391752577319589E-2</v>
      </c>
      <c r="E18" s="515">
        <f>IF(ISNUMBER(
   IF(D_I="SI",(Datos!L18-Datos!V18)/Datos!V18,(Datos!L18+Datos!AF18-(Datos!V18+Datos!AN18))/(Datos!V18+Datos!AN18))
     ),IF(D_I="SI",(Datos!L18-Datos!V18)/Datos!V18,(Datos!L18+Datos!AF18-(Datos!V18+Datos!AN18))/(Datos!V18+Datos!AN18))," - ")</f>
        <v>8.8888888888888892E-2</v>
      </c>
      <c r="F18" s="515">
        <f>IF(ISNUMBER((Datos!M18-Datos!W18)/Datos!W18),(Datos!M18-Datos!W18)/Datos!W18," - ")</f>
        <v>0.37037037037037035</v>
      </c>
      <c r="G18" s="516">
        <f>IF(ISNUMBER((Datos!N18-Datos!X18)/Datos!X18),(Datos!N18-Datos!X18)/Datos!X18," - ")</f>
        <v>-0.27737226277372262</v>
      </c>
      <c r="H18" s="514">
        <f>IF(ISNUMBER(((NºAsuntos!G18/NºAsuntos!E18)-Datos!BD18)/Datos!BD18),((NºAsuntos!G18/NºAsuntos!E18)-Datos!BD18)/Datos!BD18," - ")</f>
        <v>-4.1970217640320717E-2</v>
      </c>
      <c r="I18" s="515">
        <f>IF(ISNUMBER(((NºAsuntos!I18/NºAsuntos!G18)-Datos!BE18)/Datos!BE18),((NºAsuntos!I18/NºAsuntos!G18)-Datos!BE18)/Datos!BE18," - ")</f>
        <v>4.0613026819923258E-2</v>
      </c>
      <c r="J18" s="521">
        <f>IF(ISNUMBER((('Resol  Asuntos'!D18/NºAsuntos!G18)-Datos!BF18)/Datos!BF18),(('Resol  Asuntos'!D18/NºAsuntos!G18)-Datos!BF18)/Datos!BF18," - ")</f>
        <v>0.30961503375296473</v>
      </c>
      <c r="K18" s="522">
        <f>IF(ISNUMBER((((NºAsuntos!C18+NºAsuntos!E18)/NºAsuntos!G18)-Datos!BG18)/Datos!BG18),(((NºAsuntos!C18+NºAsuntos!E18)/NºAsuntos!G18)-Datos!BG18)/Datos!BG18," - ")</f>
        <v>2.1808904616904004E-2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f>IF(ISNUMBER((Datos!I20-Datos!S20)/Datos!S20),(Datos!I20-Datos!S20)/Datos!S20," - ")</f>
        <v>0.12616822429906541</v>
      </c>
      <c r="C20" s="515">
        <f>IF(ISNUMBER((Datos!J20-Datos!T20)/Datos!T20),(Datos!J20-Datos!T20)/Datos!T20," - ")</f>
        <v>-0.15094339622641509</v>
      </c>
      <c r="D20" s="515">
        <f>IF(ISNUMBER((Datos!K20-Datos!U20)/Datos!U20),(Datos!K20-Datos!U20)/Datos!U20," - ")</f>
        <v>-0.13526570048309178</v>
      </c>
      <c r="E20" s="515">
        <f>IF(ISNUMBER((Datos!L20-Datos!V20)/Datos!V20),(Datos!L20-Datos!V20)/Datos!V20," - ")</f>
        <v>0.1050228310502283</v>
      </c>
      <c r="F20" s="515" t="str">
        <f>IF(ISNUMBER((Datos!M20-Datos!W20)/Datos!W20),(Datos!M20-Datos!W20)/Datos!W20," - ")</f>
        <v xml:space="preserve"> - </v>
      </c>
      <c r="G20" s="516">
        <f>IF(ISNUMBER((Datos!N20-Datos!X20)/Datos!X20),(Datos!N20-Datos!X20)/Datos!X20," - ")</f>
        <v>-0.17766497461928935</v>
      </c>
      <c r="H20" s="514">
        <f>IF(ISNUMBER(((NºAsuntos!G20/NºAsuntos!E20)-Datos!BD20)/Datos!BD20),((NºAsuntos!G20/NºAsuntos!E20)-Datos!BD20)/Datos!BD20," - ")</f>
        <v>1.8464841653247525E-2</v>
      </c>
      <c r="I20" s="515">
        <f>IF(ISNUMBER(((NºAsuntos!I20/NºAsuntos!G20)-Datos!BE20)/Datos!BE20),((NºAsuntos!I20/NºAsuntos!G20)-Datos!BE20)/Datos!BE20," - ")</f>
        <v>0.27787556439886735</v>
      </c>
      <c r="J20" s="521" t="str">
        <f>IF(ISNUMBER((('Resol  Asuntos'!D20/NºAsuntos!G20)-Datos!BF20)/Datos!BF20),(('Resol  Asuntos'!D20/NºAsuntos!G20)-Datos!BF20)/Datos!BF20," - ")</f>
        <v xml:space="preserve"> - </v>
      </c>
      <c r="K20" s="522">
        <f>IF(ISNUMBER((((NºAsuntos!C20+NºAsuntos!E20)/NºAsuntos!G20)-Datos!BG20)/Datos!BG20),(((NºAsuntos!C20+NºAsuntos!E20)/NºAsuntos!G20)-Datos!BG20)/Datos!BG20," - ")</f>
        <v>0.14285152254307981</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0.25437112239142695</v>
      </c>
      <c r="C23" s="1152">
        <f>IF(ISNUMBER(
   IF(Criterios!B14="SI",(Datos!J23-Datos!T23)/Datos!T23,(Datos!J23+Datos!AD23-(Datos!T23+Datos!AL23))/(Datos!T23+Datos!AL23))
     ),IF(Criterios!B14="SI",(Datos!J23-Datos!T23)/Datos!T23,(Datos!J23+Datos!AD23-(Datos!T23+Datos!AL23))/(Datos!T23+Datos!AL23))," - ")</f>
        <v>-5.5290753098188754E-2</v>
      </c>
      <c r="D23" s="1152">
        <f>IF(ISNUMBER(
   IF(Criterios!B14="SI",(Datos!K23-Datos!U23)/Datos!U23,(Datos!K23+Datos!AE23-(Datos!U23+Datos!AM23))/(Datos!U23+Datos!AM23))
     ),IF(Criterios!B14="SI",(Datos!K23-Datos!U23)/Datos!U23,(Datos!K23+Datos!AE23-(Datos!U23+Datos!AM23))/(Datos!U23+Datos!AM23))," - ")</f>
        <v>-8.3473389355742292E-2</v>
      </c>
      <c r="E23" s="1152">
        <f>IF(ISNUMBER(
   IF(Criterios!B14="SI",(Datos!L23-Datos!V23)/Datos!V23,(Datos!L23+Datos!AF23-(Datos!V23+Datos!AN23))/(Datos!V23+Datos!AN23))
     ),IF(Criterios!B14="SI",(Datos!L23-Datos!V23)/Datos!V23,(Datos!L23+Datos!AF23-(Datos!V23+Datos!AN23))/(Datos!V23+Datos!AN23))," - ")</f>
        <v>0.20182166826462128</v>
      </c>
      <c r="F23" s="1153">
        <f>IF(ISNUMBER((Datos!M23-Datos!W23)/Datos!W23),(Datos!M23-Datos!W23)/Datos!W23," - ")</f>
        <v>7.1684587813620072E-3</v>
      </c>
      <c r="G23" s="1154">
        <f>IF(ISNUMBER((Datos!N23-Datos!X23)/Datos!X23),(Datos!N23-Datos!X23)/Datos!X23," - ")</f>
        <v>-9.3045112781954889E-2</v>
      </c>
      <c r="H23" s="1154">
        <f>IF(ISNUMBER(((NºAsuntos!G23/NºAsuntos!E23)-Datos!BD23)/Datos!BD23),((NºAsuntos!G23/NºAsuntos!E23)-Datos!BD23)/Datos!BD23," - ")</f>
        <v>-2.9832074101083406E-2</v>
      </c>
      <c r="I23" s="1154">
        <f>IF(ISNUMBER(((NºAsuntos!I23/NºAsuntos!G23)-Datos!BE23)/Datos!BE23),((NºAsuntos!I23/NºAsuntos!G23)-Datos!BE23)/Datos!BE23," - ")</f>
        <v>0.3112785316945898</v>
      </c>
      <c r="J23" s="1154">
        <f>IF(ISNUMBER((('Resol  Asuntos'!D23/NºAsuntos!G23)-Datos!BF23)/Datos!BF23),(('Resol  Asuntos'!D23/NºAsuntos!G23)-Datos!BF23)/Datos!BF23," - ")</f>
        <v>9.8897126482109535E-2</v>
      </c>
      <c r="K23" s="1154">
        <f>IF(ISNUMBER((((NºAsuntos!C23+NºAsuntos!E23)/NºAsuntos!G23)-Datos!BG23)/Datos!BG23),(((NºAsuntos!C23+NºAsuntos!E23)/NºAsuntos!G23)-Datos!BG23)/Datos!BG23," - ")</f>
        <v>0.18549852549109774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0.14593859308200544</v>
      </c>
      <c r="C31" s="1092">
        <f>IF(ISNUMBER(
   IF(J_V="SI",(Datos!J31-Datos!T31)/Datos!T31,(Datos!J31+Datos!Z31-(Datos!T31+Datos!AH31))/(Datos!T31+Datos!AH31))
     ),IF(J_V="SI",(Datos!J31-Datos!T31)/Datos!T31,(Datos!J31+Datos!Z31-(Datos!T31+Datos!AH31))/(Datos!T31+Datos!AH31))," - ")</f>
        <v>7.9989440337909182E-2</v>
      </c>
      <c r="D31" s="1092">
        <f>IF(ISNUMBER(
   IF(J_V="SI",(Datos!K31-Datos!U31)/Datos!U31,(Datos!K31+Datos!AA31-(Datos!U31+Datos!AI31))/(Datos!U31+Datos!AI31))
     ),IF(J_V="SI",(Datos!K31-Datos!U31)/Datos!U31,(Datos!K31+Datos!AA31-(Datos!U31+Datos!AI31))/(Datos!U31+Datos!AI31))," - ")</f>
        <v>1.1168125565952309E-2</v>
      </c>
      <c r="E31" s="1092">
        <f>IF(ISNUMBER(
   IF(J_V="SI",(Datos!L31-Datos!V31)/Datos!V31,(Datos!L31+Datos!AB31-(Datos!V31+Datos!AJ31))/(Datos!V31+Datos!AJ31))
     ),IF(J_V="SI",(Datos!L31-Datos!V31)/Datos!V31,(Datos!L31+Datos!AB31-(Datos!V31+Datos!AJ31))/(Datos!V31+Datos!AJ31))," - ")</f>
        <v>0.16687422166874222</v>
      </c>
      <c r="F31" s="1093">
        <f>IF(ISNUMBER((Datos!M31-Datos!W31)/Datos!W31),(Datos!M31-Datos!W31)/Datos!W31," - ")</f>
        <v>3.6127167630057806E-2</v>
      </c>
      <c r="G31" s="1094">
        <f>IF(ISNUMBER((Datos!N31-Datos!X31)/Datos!X31),(Datos!N31-Datos!X31)/Datos!X31," - ")</f>
        <v>6.2261753494282084E-2</v>
      </c>
      <c r="H31" s="1095">
        <f>IF(ISNUMBER((Tasas!B31-Datos!BD31)/Datos!BD31),(Tasas!B31-Datos!BD31)/Datos!BD31," - ")</f>
        <v>-6.372406266344971E-2</v>
      </c>
      <c r="I31" s="1096">
        <f>IF(ISNUMBER((Tasas!C31-Datos!BE31)/Datos!BE31),(Tasas!C31-Datos!BE31)/Datos!BE31," - ")</f>
        <v>0.15398635713090833</v>
      </c>
      <c r="J31" s="1097">
        <f>IF(ISNUMBER((Tasas!D31-Datos!BF31)/Datos!BF31),(Tasas!D31-Datos!BF31)/Datos!BF31," - ")</f>
        <v>-0.11142744922006516</v>
      </c>
      <c r="K31" s="1097">
        <f>IF(ISNUMBER((Tasas!E31-Datos!BG31)/Datos!BG31),(Tasas!E31-Datos!BG31)/Datos!BG31," - ")</f>
        <v>0.10562847281390224</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YowUpu3dm/I22o7K3GQmVCvF4MXArd6QL8DibzN2sUQq5fiXpG2RKOxLM6ndSaPoRt+KQ/BdnDhFyxJ8aCRsQ==" saltValue="p/46wd3X35Tpy1CZLvTR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LOGROÑO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0.81680353758686042</v>
      </c>
      <c r="C9" s="498">
        <f>IF(ISNUMBER(NºAsuntos!I9/NºAsuntos!G9),NºAsuntos!I9/NºAsuntos!G9," - ")</f>
        <v>2.4230471771075019</v>
      </c>
      <c r="D9" s="499">
        <f>IF(ISNUMBER('Resol  Asuntos'!D9/NºAsuntos!G9),'Resol  Asuntos'!D9/NºAsuntos!G9," - ")</f>
        <v>0.28306264501160094</v>
      </c>
      <c r="E9" s="500">
        <f>IF(ISNUMBER((NºAsuntos!C9+NºAsuntos!E9)/NºAsuntos!G9),(NºAsuntos!C9+NºAsuntos!E9)/NºAsuntos!G9," - ")</f>
        <v>3.4354215003866977</v>
      </c>
      <c r="G9" s="523"/>
    </row>
    <row r="10" spans="1:7">
      <c r="A10" s="450" t="str">
        <f>Datos!A10</f>
        <v>Jdos. Violencia contra la mujer</v>
      </c>
      <c r="B10" s="497">
        <f>IF(ISNUMBER(NºAsuntos!G10/NºAsuntos!E10),NºAsuntos!G10/NºAsuntos!E10," - ")</f>
        <v>0.60526315789473684</v>
      </c>
      <c r="C10" s="498">
        <f>IF(ISNUMBER(NºAsuntos!I10/NºAsuntos!G10),NºAsuntos!I10/NºAsuntos!G10," - ")</f>
        <v>7.1739130434782608</v>
      </c>
      <c r="D10" s="499">
        <f>IF(ISNUMBER('Resol  Asuntos'!D10/NºAsuntos!G10),'Resol  Asuntos'!D10/NºAsuntos!G10," - ")</f>
        <v>0.21739130434782608</v>
      </c>
      <c r="E10" s="500">
        <f>IF(ISNUMBER((NºAsuntos!C10+NºAsuntos!E10)/NºAsuntos!G10),(NºAsuntos!C10+NºAsuntos!E10)/NºAsuntos!G10," - ")</f>
        <v>8.1739130434782616</v>
      </c>
      <c r="G10" s="523"/>
    </row>
    <row r="11" spans="1:7">
      <c r="A11" s="450" t="str">
        <f>Datos!A11</f>
        <v xml:space="preserve">Jdos. Familia                                   </v>
      </c>
      <c r="B11" s="497">
        <f>IF(ISNUMBER(NºAsuntos!G11/NºAsuntos!E11),NºAsuntos!G11/NºAsuntos!E11," - ")</f>
        <v>0.81557377049180324</v>
      </c>
      <c r="C11" s="498">
        <f>IF(ISNUMBER(NºAsuntos!I11/NºAsuntos!G11),NºAsuntos!I11/NºAsuntos!G11," - ")</f>
        <v>1.8919597989949748</v>
      </c>
      <c r="D11" s="499">
        <f>IF(ISNUMBER('Resol  Asuntos'!D11/NºAsuntos!G11),'Resol  Asuntos'!D11/NºAsuntos!G11," - ")</f>
        <v>0.16331658291457288</v>
      </c>
      <c r="E11" s="500">
        <f>IF(ISNUMBER((NºAsuntos!C11+NºAsuntos!E11)/NºAsuntos!G11),(NºAsuntos!C11+NºAsuntos!E11)/NºAsuntos!G11," - ")</f>
        <v>2.891959798994975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0.81270744428639163</v>
      </c>
      <c r="C14" s="1156">
        <f>IF(ISNUMBER(NºAsuntos!I14/NºAsuntos!G14),NºAsuntos!I14/NºAsuntos!G14," - ")</f>
        <v>2.3640606767794634</v>
      </c>
      <c r="D14" s="1157">
        <f>IF(ISNUMBER('Resol  Asuntos'!D14/NºAsuntos!G14),'Resol  Asuntos'!D14/NºAsuntos!G14," - ")</f>
        <v>0.25437572928821472</v>
      </c>
      <c r="E14" s="1158">
        <f>IF(ISNUMBER((NºAsuntos!C14+NºAsuntos!E14)/NºAsuntos!G14),(NºAsuntos!C14+NºAsuntos!E14)/NºAsuntos!G14," - ")</f>
        <v>3.3733955659276544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0.79518072289156627</v>
      </c>
      <c r="C16" s="498">
        <f>IF(ISNUMBER(NºAsuntos!I16/NºAsuntos!G16),NºAsuntos!I16/NºAsuntos!G16," - ")</f>
        <v>1.6108452950558214</v>
      </c>
      <c r="D16" s="499">
        <f>IF(ISNUMBER('Resol  Asuntos'!D16/NºAsuntos!G16),'Resol  Asuntos'!D16/NºAsuntos!G16," - ")</f>
        <v>0.19457735247208932</v>
      </c>
      <c r="E16" s="500">
        <f>IF(ISNUMBER((NºAsuntos!C16+NºAsuntos!E16)/NºAsuntos!G16),(NºAsuntos!C16+NºAsuntos!E16)/NºAsuntos!G16," - ")</f>
        <v>2.6610845295055823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0.90222222222222226</v>
      </c>
      <c r="C18" s="498">
        <f>IF(ISNUMBER(NºAsuntos!I18/NºAsuntos!G18),NºAsuntos!I18/NºAsuntos!G18," - ")</f>
        <v>1.2068965517241379</v>
      </c>
      <c r="D18" s="499">
        <f>IF(ISNUMBER('Resol  Asuntos'!D18/NºAsuntos!G18),'Resol  Asuntos'!D18/NºAsuntos!G18," - ")</f>
        <v>0.18226600985221675</v>
      </c>
      <c r="E18" s="500">
        <f>IF(ISNUMBER((NºAsuntos!C18+NºAsuntos!E18)/NºAsuntos!G18),(NºAsuntos!C18+NºAsuntos!E18)/NºAsuntos!G18," - ")</f>
        <v>2.2068965517241379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f>IF(ISNUMBER(NºAsuntos!G20/NºAsuntos!E20),NºAsuntos!G20/NºAsuntos!E20," - ")</f>
        <v>0.99444444444444446</v>
      </c>
      <c r="C20" s="498">
        <f>IF(ISNUMBER(NºAsuntos!I20/NºAsuntos!G20),NºAsuntos!I20/NºAsuntos!G20," - ")</f>
        <v>1.3519553072625698</v>
      </c>
      <c r="D20" s="499" t="str">
        <f>IF(ISNUMBER('Resol  Asuntos'!D20/NºAsuntos!G20),'Resol  Asuntos'!D20/NºAsuntos!G20," - ")</f>
        <v xml:space="preserve"> - </v>
      </c>
      <c r="E20" s="500">
        <f>IF(ISNUMBER((NºAsuntos!C20+NºAsuntos!E20)/NºAsuntos!G20),(NºAsuntos!C20+NºAsuntos!E20)/NºAsuntos!G20," - ")</f>
        <v>2.3519553072625698</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0.8254288597376388</v>
      </c>
      <c r="C23" s="1156">
        <f>IF(ISNUMBER(NºAsuntos!I23/NºAsuntos!G23),NºAsuntos!I23/NºAsuntos!G23," - ")</f>
        <v>1.53239608801956</v>
      </c>
      <c r="D23" s="1159">
        <f>IF(ISNUMBER('Resol  Asuntos'!D23/NºAsuntos!G23),'Resol  Asuntos'!D23/NºAsuntos!G23," - ")</f>
        <v>0.17176039119804401</v>
      </c>
      <c r="E23" s="1158">
        <f>IF(ISNUMBER((NºAsuntos!C23+NºAsuntos!E23)/NºAsuntos!G23),(NºAsuntos!C23+NºAsuntos!E23)/NºAsuntos!G23," - ")</f>
        <v>2.5709046454767726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0.81887069176240523</v>
      </c>
      <c r="C31" s="1099">
        <f>IF(ISNUMBER(NºAsuntos!I31/NºAsuntos!G31),NºAsuntos!I31/NºAsuntos!G31," - ")</f>
        <v>1.9579104477611939</v>
      </c>
      <c r="D31" s="1100">
        <f>IF(ISNUMBER('Resol  Asuntos'!D31/NºAsuntos!G31),'Resol  Asuntos'!D31/NºAsuntos!G31," - ")</f>
        <v>0.21402985074626865</v>
      </c>
      <c r="E31" s="1101">
        <f>IF(ISNUMBER((NºAsuntos!C31+NºAsuntos!E31)/NºAsuntos!G31),(NºAsuntos!C31+NºAsuntos!E31)/NºAsuntos!G31," - ")</f>
        <v>2.9814925373134327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CmkWHoQz9Qd0tR7GEnQh3cGRiZpH7XVTmcGv7HMUsZTTZ1MSgNu1ggGWpYpaP0KLKnrjYWflEnkn9khgsTpng==" saltValue="BK1kBejRONePL86GTEmR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LOGROÑO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3 al 3</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555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697</v>
      </c>
      <c r="Y9" s="374">
        <f>SUM(W9:X9)</f>
        <v>697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6886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366</v>
      </c>
      <c r="AJ9" s="243" t="str">
        <f>IF(ISNUMBER(Datos!BW9),Datos!BW9," - ")</f>
        <v xml:space="preserve"> - </v>
      </c>
      <c r="AK9" s="242" t="str">
        <f>IF(ISNUMBER(Datos!BX9),Datos!BX9," - ")</f>
        <v xml:space="preserve"> - </v>
      </c>
      <c r="AL9" s="266">
        <f>IF(ISNUMBER(NºAsuntos!G9/NºAsuntos!E9),NºAsuntos!G9/NºAsuntos!E9," - ")</f>
        <v>0.81680353758686042</v>
      </c>
      <c r="AM9" s="284">
        <f>IF(ISNUMBER(((NºAsuntos!I9/NºAsuntos!G9)*11)/factor_trimestre),((NºAsuntos!I9/NºAsuntos!G9)*11)/factor_trimestre," - ")</f>
        <v>4.8460943542150039</v>
      </c>
      <c r="AN9" s="267">
        <f>IF(ISNUMBER('Resol  Asuntos'!D9/NºAsuntos!G9),'Resol  Asuntos'!D9/NºAsuntos!G9," - ")</f>
        <v>0.28306264501160094</v>
      </c>
      <c r="AO9" s="268">
        <f>IF(ISNUMBER((NºAsuntos!C9+NºAsuntos!E9)/NºAsuntos!G9),(NºAsuntos!C9+NºAsuntos!E9)/NºAsuntos!G9," - ")</f>
        <v>3.4354215003866977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150</v>
      </c>
      <c r="G10" s="373">
        <f>IF(ISNUMBER(Datos!I10),Datos!I10," - ")</f>
        <v>150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3</v>
      </c>
      <c r="Y10" s="374">
        <f t="shared" ref="Y10:Y13" si="0">SUM(W10:X10)</f>
        <v>26</v>
      </c>
      <c r="Z10" s="375" t="str">
        <f>IF(ISNUMBER(Datos!CC10),Datos!CC10," - ")</f>
        <v xml:space="preserve"> - </v>
      </c>
      <c r="AA10" s="372">
        <f>IF(ISNUMBER(Datos!L10),Datos!L10,"-")</f>
        <v>165</v>
      </c>
      <c r="AB10" s="374">
        <f>IF(ISNUMBER(Datos!R10),Datos!R10," - ")</f>
        <v>162</v>
      </c>
      <c r="AC10" s="374">
        <f t="shared" ref="AC10:AC13" si="1">IF(ISNUMBER(AA10+AB10),AA10+AB10," - ")</f>
        <v>327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0.60526315789473684</v>
      </c>
      <c r="AM10" s="284">
        <f>IF(ISNUMBER(((NºAsuntos!I10/NºAsuntos!G10)*11)/factor_trimestre),((NºAsuntos!I10/NºAsuntos!G10)*11)/factor_trimestre," - ")</f>
        <v>14.347826086956523</v>
      </c>
      <c r="AN10" s="267">
        <f>IF(ISNUMBER('Resol  Asuntos'!D10/NºAsuntos!G10),'Resol  Asuntos'!D10/NºAsuntos!G10," - ")</f>
        <v>0.21739130434782608</v>
      </c>
      <c r="AO10" s="268">
        <f>IF(ISNUMBER((NºAsuntos!C10+NºAsuntos!E10)/NºAsuntos!G10),(NºAsuntos!C10+NºAsuntos!E10)/NºAsuntos!G10," - ")</f>
        <v>8.1739130434782616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17</v>
      </c>
      <c r="Y11" s="374">
        <f t="shared" si="0"/>
        <v>17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527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65</v>
      </c>
      <c r="AJ11" s="245" t="str">
        <f>IF(ISNUMBER(Datos!BW11),Datos!BW11," - ")</f>
        <v xml:space="preserve"> - </v>
      </c>
      <c r="AK11" s="246" t="str">
        <f>IF(ISNUMBER(Datos!BX11),Datos!BX11," - ")</f>
        <v xml:space="preserve"> - </v>
      </c>
      <c r="AL11" s="266">
        <f>IF(ISNUMBER(NºAsuntos!G11/NºAsuntos!E11),NºAsuntos!G11/NºAsuntos!E11," - ")</f>
        <v>0.81557377049180324</v>
      </c>
      <c r="AM11" s="284">
        <f>IF(ISNUMBER(((NºAsuntos!I11/NºAsuntos!G11)*11)/factor_trimestre),((NºAsuntos!I11/NºAsuntos!G11)*11)/factor_trimestre," - ")</f>
        <v>3.7839195979899496</v>
      </c>
      <c r="AN11" s="267">
        <f>IF(ISNUMBER('Resol  Asuntos'!D11/NºAsuntos!G11),'Resol  Asuntos'!D11/NºAsuntos!G11," - ")</f>
        <v>0.16331658291457288</v>
      </c>
      <c r="AO11" s="268">
        <f>IF(ISNUMBER((NºAsuntos!C11+NºAsuntos!E11)/NºAsuntos!G11),(NºAsuntos!C11+NºAsuntos!E11)/NºAsuntos!G11," - ")</f>
        <v>2.891959798994975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150</v>
      </c>
      <c r="G14" s="1163">
        <f t="shared" si="5"/>
        <v>150</v>
      </c>
      <c r="H14" s="1162">
        <f t="shared" si="5"/>
        <v>0</v>
      </c>
      <c r="I14" s="1164">
        <f t="shared" si="5"/>
        <v>0</v>
      </c>
      <c r="J14" s="1164">
        <f t="shared" si="5"/>
        <v>0</v>
      </c>
      <c r="K14" s="1164">
        <f t="shared" si="5"/>
        <v>0</v>
      </c>
      <c r="L14" s="1164">
        <f t="shared" si="5"/>
        <v>595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723</v>
      </c>
      <c r="Y14" s="1165">
        <f t="shared" si="6"/>
        <v>746</v>
      </c>
      <c r="Z14" s="1165">
        <f t="shared" si="6"/>
        <v>0</v>
      </c>
      <c r="AA14" s="1165">
        <f t="shared" si="6"/>
        <v>165</v>
      </c>
      <c r="AB14" s="1165">
        <f t="shared" si="6"/>
        <v>7626</v>
      </c>
      <c r="AC14" s="1165">
        <f t="shared" si="6"/>
        <v>327</v>
      </c>
      <c r="AD14" s="1165">
        <f t="shared" si="6"/>
        <v>0</v>
      </c>
      <c r="AE14" s="1169">
        <f t="shared" si="6"/>
        <v>0</v>
      </c>
      <c r="AF14" s="1162">
        <f t="shared" si="6"/>
        <v>0</v>
      </c>
      <c r="AG14" s="1170">
        <f t="shared" si="6"/>
        <v>0</v>
      </c>
      <c r="AH14" s="1167">
        <f t="shared" si="6"/>
        <v>0</v>
      </c>
      <c r="AI14" s="1162">
        <f t="shared" si="6"/>
        <v>436</v>
      </c>
      <c r="AJ14" s="1164">
        <f t="shared" si="6"/>
        <v>0</v>
      </c>
      <c r="AK14" s="1167">
        <f>SUBTOTAL(9,AK9:AK13)</f>
        <v>0</v>
      </c>
      <c r="AL14" s="1171">
        <f>IF(ISNUMBER(NºAsuntos!G14/NºAsuntos!E14),NºAsuntos!G14/NºAsuntos!E14," - ")</f>
        <v>0.81270744428639163</v>
      </c>
      <c r="AM14" s="1171">
        <f>IF(ISNUMBER(((NºAsuntos!I14/NºAsuntos!G14)*11)/factor_trimestre),((NºAsuntos!I14/NºAsuntos!G14)*11)/factor_trimestre," - ")</f>
        <v>4.7281213535589268</v>
      </c>
      <c r="AN14" s="1172">
        <f>IF(ISNUMBER('Resol  Asuntos'!D14/NºAsuntos!G14),'Resol  Asuntos'!D14/NºAsuntos!G14," - ")</f>
        <v>0.25437572928821472</v>
      </c>
      <c r="AO14" s="1173">
        <f>IF(ISNUMBER((NºAsuntos!C14+NºAsuntos!E14)/NºAsuntos!G14),(NºAsuntos!C14+NºAsuntos!E14)/NºAsuntos!G14," - ")</f>
        <v>3.3733955659276544</v>
      </c>
      <c r="AP14" s="1174" t="str">
        <f t="shared" si="2"/>
        <v xml:space="preserve"> - </v>
      </c>
      <c r="AQ14" s="1174">
        <f>IF(ISNUMBER((H14-W14+K14)/(F14)),(H14-W14+K14)/(F14)," - ")</f>
        <v>-0.15333333333333332</v>
      </c>
      <c r="AR14" s="1175">
        <f>IF(ISNUMBER((Datos!P14-Datos!Q14)/(Datos!R14-Datos!P14+Datos!Q14)),(Datos!P14-Datos!Q14)/(Datos!R14-Datos!P14+Datos!Q14)," - ")</f>
        <v>-1.6507608976012382E-2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1697</v>
      </c>
      <c r="G16" s="373">
        <f>IF(ISNUMBER(IF(D_I="SI",Datos!I16,Datos!I16+Datos!AC16)),IF(D_I="SI",Datos!I16,Datos!I16+Datos!AC16)," - ")</f>
        <v>1760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1254</v>
      </c>
      <c r="X16" s="240">
        <f>IF(ISNUMBER(Datos!Q16),Datos!Q16," - ")</f>
        <v>57</v>
      </c>
      <c r="Y16" s="374">
        <f>SUM(W16)</f>
        <v>1254</v>
      </c>
      <c r="Z16" s="375" t="str">
        <f>IF(ISNUMBER(Datos!CC16),Datos!CC16," - ")</f>
        <v xml:space="preserve"> - </v>
      </c>
      <c r="AA16" s="372">
        <f>IF(ISNUMBER(IF(D_I="SI",Datos!L16,Datos!L16+Datos!AF16)),IF(D_I="SI",Datos!L16,Datos!L16+Datos!AF16)," - ")</f>
        <v>2020</v>
      </c>
      <c r="AB16" s="374">
        <f>IF(ISNUMBER(Datos!R16),Datos!R16," - ")</f>
        <v>296</v>
      </c>
      <c r="AC16" s="374">
        <f t="shared" ref="AC16:AC22" si="8">IF(ISNUMBER(AA16+AB16),AA16+AB16," - ")</f>
        <v>2316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244</v>
      </c>
      <c r="AJ16" s="245" t="str">
        <f>IF(ISNUMBER(Datos!BW16),Datos!BW16," - ")</f>
        <v xml:space="preserve"> - </v>
      </c>
      <c r="AK16" s="246" t="str">
        <f>IF(ISNUMBER(Datos!BX16),Datos!BX16," - ")</f>
        <v xml:space="preserve"> - </v>
      </c>
      <c r="AL16" s="266">
        <f>IF(ISNUMBER(NºAsuntos!G16/NºAsuntos!E16),NºAsuntos!G16/NºAsuntos!E16," - ")</f>
        <v>0.79518072289156627</v>
      </c>
      <c r="AM16" s="284">
        <f>IF(ISNUMBER(((NºAsuntos!I16/NºAsuntos!G16)*11)/factor_trimestre),((NºAsuntos!I16/NºAsuntos!G16)*11)/factor_trimestre," - ")</f>
        <v>3.2216905901116424</v>
      </c>
      <c r="AN16" s="267">
        <f>IF(ISNUMBER('Resol  Asuntos'!D16/NºAsuntos!G16),'Resol  Asuntos'!D16/NºAsuntos!G16," - ")</f>
        <v>0.19457735247208932</v>
      </c>
      <c r="AO16" s="268">
        <f>IF(ISNUMBER((NºAsuntos!C16+NºAsuntos!E16)/NºAsuntos!G16),(NºAsuntos!C16+NºAsuntos!E16)/NºAsuntos!G16," - ")</f>
        <v>2.6610845295055823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203</v>
      </c>
      <c r="X18" s="240">
        <f>IF(ISNUMBER(Datos!Q18),Datos!Q18," - ")</f>
        <v>1</v>
      </c>
      <c r="Y18" s="374">
        <f t="shared" si="9"/>
        <v>204</v>
      </c>
      <c r="Z18" s="375" t="str">
        <f>IF(ISNUMBER(Datos!CC18),Datos!CC18," - ")</f>
        <v xml:space="preserve"> - </v>
      </c>
      <c r="AA18" s="372">
        <f>IF(ISNUMBER(Datos!L18),Datos!L18,"-")</f>
        <v>245</v>
      </c>
      <c r="AB18" s="374">
        <f>IF(ISNUMBER(Datos!R18),Datos!R18," - ")</f>
        <v>8</v>
      </c>
      <c r="AC18" s="374">
        <f t="shared" si="8"/>
        <v>253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37</v>
      </c>
      <c r="AJ18" s="245" t="str">
        <f>IF(ISNUMBER(Datos!BW18),Datos!BW18," - ")</f>
        <v xml:space="preserve"> - </v>
      </c>
      <c r="AK18" s="246" t="str">
        <f>IF(ISNUMBER(Datos!BX18),Datos!BX18," - ")</f>
        <v xml:space="preserve"> - </v>
      </c>
      <c r="AL18" s="266">
        <f>IF(ISNUMBER(NºAsuntos!G18/NºAsuntos!E18),NºAsuntos!G18/NºAsuntos!E18," - ")</f>
        <v>0.90222222222222226</v>
      </c>
      <c r="AM18" s="284">
        <f>IF(ISNUMBER(((NºAsuntos!I18/NºAsuntos!G18)*11)/factor_trimestre),((NºAsuntos!I18/NºAsuntos!G18)*11)/factor_trimestre," - ")</f>
        <v>2.4137931034482758</v>
      </c>
      <c r="AN18" s="267">
        <f>IF(ISNUMBER('Resol  Asuntos'!D18/NºAsuntos!G18),'Resol  Asuntos'!D18/NºAsuntos!G18," - ")</f>
        <v>0.18226600985221675</v>
      </c>
      <c r="AO18" s="268">
        <f>IF(ISNUMBER((NºAsuntos!C18+NºAsuntos!E18)/NºAsuntos!G18),(NºAsuntos!C18+NºAsuntos!E18)/NºAsuntos!G18," - ")</f>
        <v>2.2068965517241379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f>IF(ISNUMBER(Datos!L20+Datos!K20-Datos!J20-K20),Datos!L20+Datos!K20-Datos!J20-K20," - ")</f>
        <v>241</v>
      </c>
      <c r="G20" s="543">
        <f>IF(ISNUMBER(Datos!I20),Datos!I20," - ")</f>
        <v>241</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f>IF(ISNUMBER(Datos!K20),Datos!K20," - ")</f>
        <v>179</v>
      </c>
      <c r="X20" s="547" t="str">
        <f>IF(ISNUMBER(Datos!Q20),Datos!Q20," - ")</f>
        <v xml:space="preserve"> - </v>
      </c>
      <c r="Y20" s="549">
        <f t="shared" si="9"/>
        <v>179</v>
      </c>
      <c r="Z20" s="766" t="str">
        <f>IF(ISNUMBER(Datos!CC20),Datos!CC20," - ")</f>
        <v xml:space="preserve"> - </v>
      </c>
      <c r="AA20" s="551">
        <f>IF(ISNUMBER(Datos!L20),Datos!L20,"-")</f>
        <v>242</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f>IF(ISNUMBER(Datos!N20),Datos!N20," - ")</f>
        <v>162</v>
      </c>
      <c r="AJ20" s="794" t="str">
        <f>IF(ISNUMBER(Datos!BW20),Datos!BW20," - ")</f>
        <v xml:space="preserve"> - </v>
      </c>
      <c r="AK20" s="795" t="str">
        <f>IF(ISNUMBER(Datos!BX20),Datos!BX20," - ")</f>
        <v xml:space="preserve"> - </v>
      </c>
      <c r="AL20" s="763">
        <f>IF(ISNUMBER(NºAsuntos!G20/NºAsuntos!E20),NºAsuntos!G20/NºAsuntos!E20," - ")</f>
        <v>0.99444444444444446</v>
      </c>
      <c r="AM20" s="764">
        <f>IF(ISNUMBER(((NºAsuntos!I20/NºAsuntos!G20)*11)/factor_trimestre),((NºAsuntos!I20/NºAsuntos!G20)*11)/factor_trimestre," - ")</f>
        <v>2.7039106145251397</v>
      </c>
      <c r="AN20" s="796" t="str">
        <f>IF(ISNUMBER('Resol  Asuntos'!D20/NºAsuntos!G20),'Resol  Asuntos'!D20/NºAsuntos!G20," - ")</f>
        <v xml:space="preserve"> - </v>
      </c>
      <c r="AO20" s="797">
        <f>IF(ISNUMBER((NºAsuntos!C20+NºAsuntos!E20)/NºAsuntos!G20),(NºAsuntos!C20+NºAsuntos!E20)/NºAsuntos!G20," - ")</f>
        <v>2.3519553072625698</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1938</v>
      </c>
      <c r="G23" s="1163">
        <f>SUBTOTAL(9,G16:G22)</f>
        <v>2224</v>
      </c>
      <c r="H23" s="1162">
        <f t="shared" ref="H23:O23" si="13">SUBTOTAL(9,H15:H22)</f>
        <v>0</v>
      </c>
      <c r="I23" s="1164">
        <f t="shared" si="13"/>
        <v>0</v>
      </c>
      <c r="J23" s="1164">
        <f t="shared" si="13"/>
        <v>0</v>
      </c>
      <c r="K23" s="1164">
        <f t="shared" si="13"/>
        <v>0</v>
      </c>
      <c r="L23" s="1164">
        <f t="shared" si="13"/>
        <v>86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1636</v>
      </c>
      <c r="X23" s="1164">
        <f t="shared" si="14"/>
        <v>58</v>
      </c>
      <c r="Y23" s="1165">
        <f t="shared" si="14"/>
        <v>1637</v>
      </c>
      <c r="Z23" s="1165">
        <f t="shared" si="14"/>
        <v>0</v>
      </c>
      <c r="AA23" s="1165">
        <f t="shared" si="14"/>
        <v>2507</v>
      </c>
      <c r="AB23" s="1165">
        <f t="shared" si="14"/>
        <v>304</v>
      </c>
      <c r="AC23" s="1165">
        <f t="shared" si="14"/>
        <v>2569</v>
      </c>
      <c r="AD23" s="1165">
        <f t="shared" si="14"/>
        <v>0</v>
      </c>
      <c r="AE23" s="1169">
        <f t="shared" si="14"/>
        <v>0</v>
      </c>
      <c r="AF23" s="1162">
        <f t="shared" si="14"/>
        <v>0</v>
      </c>
      <c r="AG23" s="1170">
        <f t="shared" si="14"/>
        <v>0</v>
      </c>
      <c r="AH23" s="1167">
        <f t="shared" si="14"/>
        <v>0</v>
      </c>
      <c r="AI23" s="1162">
        <f t="shared" si="14"/>
        <v>443</v>
      </c>
      <c r="AJ23" s="1164">
        <f t="shared" si="14"/>
        <v>0</v>
      </c>
      <c r="AK23" s="1167">
        <f t="shared" si="14"/>
        <v>0</v>
      </c>
      <c r="AL23" s="1171">
        <f>IF(ISNUMBER(NºAsuntos!G23/NºAsuntos!E23),NºAsuntos!G23/NºAsuntos!E23," - ")</f>
        <v>0.8254288597376388</v>
      </c>
      <c r="AM23" s="1171">
        <f>IF(ISNUMBER(((NºAsuntos!I23/NºAsuntos!G23)*11)/factor_trimestre),((NºAsuntos!I23/NºAsuntos!G23)*11)/factor_trimestre," - ")</f>
        <v>3.0647921760391199</v>
      </c>
      <c r="AN23" s="1172">
        <f>IF(ISNUMBER('Resol  Asuntos'!D23/NºAsuntos!G23),'Resol  Asuntos'!D23/NºAsuntos!G23," - ")</f>
        <v>0.17176039119804401</v>
      </c>
      <c r="AO23" s="1173">
        <f>IF(ISNUMBER((NºAsuntos!C23+NºAsuntos!E23)/NºAsuntos!G23),(NºAsuntos!C23+NºAsuntos!E23)/NºAsuntos!G23," - ")</f>
        <v>2.5709046454767726</v>
      </c>
      <c r="AP23" s="1174" t="str">
        <f t="shared" si="2"/>
        <v xml:space="preserve"> - </v>
      </c>
      <c r="AQ23" s="1174">
        <f>IF(ISNUMBER((H23-W23+K23)/(F23)),(H23-W23+K23)/(F23)," - ")</f>
        <v>-0.84416924664602688</v>
      </c>
      <c r="AR23" s="1175">
        <f>IF(ISNUMBER((Datos!P23-Datos!Q23)/(Datos!R23-Datos!P23+Datos!Q23)),(Datos!P23-Datos!Q23)/(Datos!R23-Datos!P23+Datos!Q23)," - ")</f>
        <v>0.10144927536231885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2088</v>
      </c>
      <c r="G31" s="1118">
        <f t="shared" si="20"/>
        <v>2374</v>
      </c>
      <c r="H31" s="1117">
        <f t="shared" si="20"/>
        <v>0</v>
      </c>
      <c r="I31" s="1119">
        <f t="shared" si="20"/>
        <v>0</v>
      </c>
      <c r="J31" s="1119">
        <f t="shared" si="20"/>
        <v>0</v>
      </c>
      <c r="K31" s="1180">
        <f t="shared" si="20"/>
        <v>0</v>
      </c>
      <c r="L31" s="1119">
        <f t="shared" si="20"/>
        <v>681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1659</v>
      </c>
      <c r="X31" s="1118">
        <f t="shared" si="21"/>
        <v>781</v>
      </c>
      <c r="Y31" s="1125">
        <f t="shared" si="21"/>
        <v>2383</v>
      </c>
      <c r="Z31" s="1125">
        <f t="shared" si="21"/>
        <v>0</v>
      </c>
      <c r="AA31" s="1125">
        <f t="shared" si="21"/>
        <v>2672</v>
      </c>
      <c r="AB31" s="1125">
        <f t="shared" si="21"/>
        <v>7930</v>
      </c>
      <c r="AC31" s="1125">
        <f t="shared" si="21"/>
        <v>2896</v>
      </c>
      <c r="AD31" s="1125">
        <f t="shared" si="21"/>
        <v>0</v>
      </c>
      <c r="AE31" s="1127">
        <f t="shared" si="21"/>
        <v>0</v>
      </c>
      <c r="AF31" s="1128">
        <f t="shared" si="21"/>
        <v>0</v>
      </c>
      <c r="AG31" s="1129">
        <f t="shared" si="21"/>
        <v>0</v>
      </c>
      <c r="AH31" s="1127">
        <f t="shared" si="21"/>
        <v>0</v>
      </c>
      <c r="AI31" s="1117">
        <f t="shared" si="21"/>
        <v>879</v>
      </c>
      <c r="AJ31" s="1117">
        <f t="shared" si="21"/>
        <v>0</v>
      </c>
      <c r="AK31" s="1127">
        <f t="shared" si="21"/>
        <v>0</v>
      </c>
      <c r="AL31" s="1183">
        <f>IF(ISNUMBER(NºAsuntos!G31/NºAsuntos!E31),NºAsuntos!G31/NºAsuntos!E31," - ")</f>
        <v>0.81887069176240523</v>
      </c>
      <c r="AM31" s="1184">
        <f>IF(ISNUMBER(((NºAsuntos!I31/NºAsuntos!G31)*11)/factor_trimestre),((NºAsuntos!I31/NºAsuntos!G31)*11)/factor_trimestre," - ")</f>
        <v>3.9158208955223874</v>
      </c>
      <c r="AN31" s="1184">
        <f>IF(ISNUMBER('Resol  Asuntos'!D31/NºAsuntos!G31),'Resol  Asuntos'!D31/NºAsuntos!G31," - ")</f>
        <v>0.21402985074626865</v>
      </c>
      <c r="AO31" s="1185">
        <f>IF(ISNUMBER((NºAsuntos!C31+NºAsuntos!E31)/NºAsuntos!G31),(NºAsuntos!C31+NºAsuntos!E31)/NºAsuntos!G31," - ")</f>
        <v>2.9814925373134327</v>
      </c>
      <c r="AP31" s="1186" t="str">
        <f t="shared" si="2"/>
        <v xml:space="preserve"> - </v>
      </c>
      <c r="AQ31" s="1187">
        <f>IF(OR(ISNUMBER(FIND("01",Criterios!A8,1)),ISNUMBER(FIND("02",Criterios!A8,1)),ISNUMBER(FIND("03",Criterios!A8,1)),ISNUMBER(FIND("04",Criterios!A8,1))),(I31-W31+K31)/(F31-K31),(H31-W31+K31)/(F31-K31))</f>
        <v>-0.79454022988505746</v>
      </c>
      <c r="AR31" s="1188">
        <f>IF(ISNUMBER((Datos!P31-Datos!Q31)/(Datos!R31-Datos!P31+Datos!Q31)),(Datos!P31-Datos!Q31)/(Datos!R31-Datos!P31+Datos!Q31)," - ")</f>
        <v>-1.2453300124533001E-2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593.5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2.3295709014312749</v>
      </c>
      <c r="F33" s="276">
        <f>IF(ISNUMBER(STDEV(F8:F30)),STDEV(F8:F30),"-")</f>
        <v>841.37305581271085</v>
      </c>
      <c r="G33" s="277">
        <f>IF(ISNUMBER(STDEV(G8:G30)),STDEV(G8:G30),"-")</f>
        <v>876.5718942073637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648.86488798296273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181.86248551134355</v>
      </c>
      <c r="AJ33" s="276">
        <f t="shared" si="25"/>
        <v>0</v>
      </c>
      <c r="AK33" s="278">
        <f t="shared" si="25"/>
        <v>0</v>
      </c>
      <c r="AL33" s="273">
        <f t="shared" si="25"/>
        <v>0.10956046125222754</v>
      </c>
      <c r="AM33" s="274">
        <f t="shared" si="25"/>
        <v>3.9229587175876079</v>
      </c>
      <c r="AN33" s="274">
        <f t="shared" si="25"/>
        <v>4.4738349115972874E-2</v>
      </c>
      <c r="AO33" s="275">
        <f t="shared" si="25"/>
        <v>1.9558889789004195</v>
      </c>
      <c r="AP33" s="317" t="str">
        <f t="shared" si="25"/>
        <v>-</v>
      </c>
      <c r="AQ33" s="318">
        <f t="shared" si="25"/>
        <v>0.48849475899060751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LM0sBQKlcdHRaIYFsm91b9ajvJkbDhUFnyVpaD2it7sLsN0ycR/YNT7/r8DG/S93zOKfBzPo0mQy/7URHoEtA==" saltValue="un181ADpXaYuCQ8G7Mr8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LOGROÑO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0.2119205298013245</v>
      </c>
      <c r="I9" s="395">
        <f>IF(ISNUMBER((Tasas!C9-Datos!BE9)/Datos!BE9),(Tasas!C9-Datos!BE9)/Datos!BE9," - ")</f>
        <v>8.7898732578878522E-2</v>
      </c>
      <c r="J9" s="394">
        <f>IF(ISNUMBER((Tasas!D9-Datos!BF9)/Datos!BF9),(Tasas!D9-Datos!BF9)/Datos!BF9," - ")</f>
        <v>-0.13508636246455266</v>
      </c>
      <c r="K9" s="396">
        <f>IF(ISNUMBER((Tasas!E9-Datos!BG9)/Datos!BG9),(Tasas!E9-Datos!BG9)/Datos!BG9," - ")</f>
        <v>6.4496802936723288E-2</v>
      </c>
      <c r="M9" t="e">
        <f>IF(Monitorios="SI",Datos!CE9,0)</f>
        <v>#REF!</v>
      </c>
      <c r="N9" t="e">
        <f>IF(Monitorios="SI",Datos!CF9,0)</f>
        <v>#REF!</v>
      </c>
      <c r="O9" t="e">
        <f>IF(Monitorios="SI",Datos!CG9,0)</f>
        <v>#REF!</v>
      </c>
      <c r="P9" t="e">
        <f>IF(Monitorios="SI",Datos!CH9,0)</f>
        <v>#REF!</v>
      </c>
      <c r="Q9">
        <f>IF(J_V="SI",0,Datos!AG9)</f>
        <v>55</v>
      </c>
      <c r="R9">
        <f>IF(J_V="SI",0,Datos!AH9)</f>
        <v>74</v>
      </c>
      <c r="S9">
        <f>IF(J_V="SI",0,Datos!AI9)</f>
        <v>80</v>
      </c>
      <c r="T9">
        <f>IF(J_V="SI",0,Datos!AJ9)</f>
        <v>49</v>
      </c>
    </row>
    <row r="10" spans="2:20" ht="14.25">
      <c r="B10" s="300" t="s">
        <v>317</v>
      </c>
      <c r="C10" s="7" t="str">
        <f>Datos!A10</f>
        <v>Jdos. Violencia contra la mujer</v>
      </c>
      <c r="D10" s="397">
        <f>IF(ISNUMBER((Datos!I10-Datos!S10)/Datos!S10),(Datos!I10-Datos!S10)/Datos!S10," - ")</f>
        <v>0.19047619047619047</v>
      </c>
      <c r="E10" s="393">
        <f>IF(ISNUMBER((Datos!J10-Datos!T10)/Datos!T10),(Datos!J10-Datos!T10)/Datos!T10," - ")</f>
        <v>0.22580645161290322</v>
      </c>
      <c r="F10" s="393">
        <f>IF(ISNUMBER((Datos!K10-Datos!U10)/Datos!U10),(Datos!K10-Datos!U10)/Datos!U10," - ")</f>
        <v>-0.46511627906976744</v>
      </c>
      <c r="G10" s="394">
        <f>IF(ISNUMBER((Datos!L10-Datos!V10)/Datos!V10),(Datos!L10-Datos!V10)/Datos!V10," - ")</f>
        <v>0.44736842105263158</v>
      </c>
      <c r="H10" s="244">
        <f>IF(ISNUMBER((Datos!M10-Datos!W10)/Datos!W10),(Datos!M10-Datos!W10)/Datos!W10," - ")</f>
        <v>-0.66666666666666663</v>
      </c>
      <c r="I10" s="395">
        <f>IF(ISNUMBER((Tasas!C10-Datos!BE10)/Datos!BE10),(Tasas!C10-Datos!BE10)/Datos!BE10," - ")</f>
        <v>1.7059496567505721</v>
      </c>
      <c r="J10" s="394">
        <f>IF(ISNUMBER((Tasas!D10-Datos!BF10)/Datos!BF10),(Tasas!D10-Datos!BF10)/Datos!BF10," - ")</f>
        <v>-0.37681159420289856</v>
      </c>
      <c r="K10" s="396">
        <f>IF(ISNUMBER((Tasas!E10-Datos!BG10)/Datos!BG10),(Tasas!E10-Datos!BG10)/Datos!BG10," - ")</f>
        <v>1.238715037385766</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-0.32291666666666669</v>
      </c>
      <c r="I11" s="395">
        <f>IF(ISNUMBER((Tasas!C11-Datos!BE11)/Datos!BE11),(Tasas!C11-Datos!BE11)/Datos!BE11," - ")</f>
        <v>-0.28236007624328541</v>
      </c>
      <c r="J11" s="394">
        <f>IF(ISNUMBER((Tasas!D11-Datos!BF11)/Datos!BF11),(Tasas!D11-Datos!BF11)/Datos!BF11," - ")</f>
        <v>-0.58414758980085613</v>
      </c>
      <c r="K11" s="396">
        <f>IF(ISNUMBER((Tasas!E11-Datos!BG11)/Datos!BG11),(Tasas!E11-Datos!BG11)/Datos!BG11," - ")</f>
        <v>-0.20471105527638184</v>
      </c>
      <c r="M11" t="e">
        <f>IF(Monitorios="SI",Datos!CE11,0)</f>
        <v>#REF!</v>
      </c>
      <c r="N11" t="e">
        <f>IF(Monitorios="SI",Datos!CF11,0)</f>
        <v>#REF!</v>
      </c>
      <c r="O11" t="e">
        <f>IF(Monitorios="SI",Datos!CG11,0)</f>
        <v>#REF!</v>
      </c>
      <c r="P11" t="e">
        <f>IF(Monitorios="SI",Datos!CH11,0)</f>
        <v>#REF!</v>
      </c>
      <c r="Q11">
        <f>IF(J_V="SI",0,Datos!AG11)</f>
        <v>67</v>
      </c>
      <c r="R11">
        <f>IF(J_V="SI",0,Datos!AH11)</f>
        <v>108</v>
      </c>
      <c r="S11">
        <f>IF(J_V="SI",0,Datos!AI11)</f>
        <v>94</v>
      </c>
      <c r="T11">
        <f>IF(J_V="SI",0,Datos!AJ11)</f>
        <v>81</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5.569007263922518E-2</v>
      </c>
      <c r="I14" s="402">
        <f>IF(ISNUMBER((Tasas!C14-Datos!BE14)/Datos!BE14),(Tasas!C14-Datos!BE14)/Datos!BE14," - ")</f>
        <v>2.1862719694206542E-2</v>
      </c>
      <c r="J14" s="400">
        <f>IF(ISNUMBER((Tasas!D14-Datos!BF14)/Datos!BF14),(Tasas!D14-Datos!BF14)/Datos!BF14," - ")</f>
        <v>-0.25108648487015012</v>
      </c>
      <c r="K14" s="403">
        <f>IF(ISNUMBER((Tasas!E14-Datos!BG14)/Datos!BG14),(Tasas!E14-Datos!BG14)/Datos!BG14," - ")</f>
        <v>1.8081853592229118E-2</v>
      </c>
      <c r="M14" t="e">
        <f>IF(Monitorios="SI",Datos!CE14,0)</f>
        <v>#REF!</v>
      </c>
      <c r="N14" t="e">
        <f>IF(Monitorios="SI",Datos!CF14,0)</f>
        <v>#REF!</v>
      </c>
      <c r="O14" t="e">
        <f>IF(Monitorios="SI",Datos!CG14,0)</f>
        <v>#REF!</v>
      </c>
      <c r="P14" t="e">
        <f>IF(Monitorios="SI",Datos!CH14,0)</f>
        <v>#REF!</v>
      </c>
      <c r="Q14">
        <f>IF(J_V="SI",0,Datos!AG14)</f>
        <v>122</v>
      </c>
      <c r="R14">
        <f>IF(J_V="SI",0,Datos!AH14)</f>
        <v>182</v>
      </c>
      <c r="S14">
        <f>IF(J_V="SI",0,Datos!AI14)</f>
        <v>174</v>
      </c>
      <c r="T14">
        <f>IF(J_V="SI",0,Datos!AJ14)</f>
        <v>130</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0.30757800891530462</v>
      </c>
      <c r="E16" s="393">
        <f>IF(ISNUMBER(
   IF(D_I="SI",(Datos!J16-Datos!T16)/Datos!T16,(Datos!J16+Datos!AD16-(Datos!T16+Datos!AL16))/(Datos!T16+Datos!AL16))
     ),IF(D_I="SI",(Datos!J16-Datos!T16)/Datos!T16,(Datos!J16+Datos!AD16-(Datos!T16+Datos!AL16))/(Datos!T16+Datos!AL16))," - ")</f>
        <v>-6.1309523809523807E-2</v>
      </c>
      <c r="F16" s="393">
        <f>IF(ISNUMBER(
   IF(D_I="SI",(Datos!K16-Datos!U16)/Datos!U16,(Datos!K16+Datos!AE16-(Datos!U16+Datos!AM16))/(Datos!U16+Datos!AM16))
     ),IF(D_I="SI",(Datos!K16-Datos!U16)/Datos!U16,(Datos!K16+Datos!AE16-(Datos!U16+Datos!AM16))/(Datos!U16+Datos!AM16))," - ")</f>
        <v>-9.3930635838150284E-2</v>
      </c>
      <c r="G16" s="394">
        <f>IF(ISNUMBER(
   IF(D_I="SI",(Datos!L16-Datos!V16)/Datos!V16,(Datos!L16+Datos!AF16-(Datos!V16+Datos!AN16))/(Datos!V16+Datos!AN16))
     ),IF(D_I="SI",(Datos!L16-Datos!V16)/Datos!V16,(Datos!L16+Datos!AF16-(Datos!V16+Datos!AN16))/(Datos!V16+Datos!AN16))," - ")</f>
        <v>0.23020706455542023</v>
      </c>
      <c r="H16" s="244">
        <f>IF(ISNUMBER((Datos!M16-Datos!W16)/Datos!W16),(Datos!M16-Datos!W16)/Datos!W16," - ")</f>
        <v>-3.1746031746031744E-2</v>
      </c>
      <c r="I16" s="395">
        <f>IF(ISNUMBER((Tasas!C16-Datos!BE16)/Datos!BE16),(Tasas!C16-Datos!BE16)/Datos!BE16," - ")</f>
        <v>0.35774049230039995</v>
      </c>
      <c r="J16" s="394">
        <f>IF(ISNUMBER((Tasas!D16-Datos!BF16)/Datos!BF16),(Tasas!D16-Datos!BF16)/Datos!BF16," - ")</f>
        <v>6.8631173894331876E-2</v>
      </c>
      <c r="K16" s="396">
        <f>IF(ISNUMBER((Tasas!E16-Datos!BG16)/Datos!BG16),(Tasas!E16-Datos!BG16)/Datos!BG16," - ")</f>
        <v>0.21709880662119158</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4.6948356807511735E-2</v>
      </c>
      <c r="E18" s="393">
        <f>IF(ISNUMBER(
   IF(D_I="SI",(Datos!J18-Datos!T18)/Datos!T18,(Datos!J18+Datos!AD18-(Datos!T18+Datos!AL18))/(Datos!T18+Datos!AL18))
     ),IF(D_I="SI",(Datos!J18-Datos!T18)/Datos!T18,(Datos!J18+Datos!AD18-(Datos!T18+Datos!AL18))/(Datos!T18+Datos!AL18))," - ")</f>
        <v>9.2233009708737865E-2</v>
      </c>
      <c r="F18" s="393">
        <f>IF(ISNUMBER(
   IF(D_I="SI",(Datos!K18-Datos!U18)/Datos!U18,(Datos!K18+Datos!AE18-(Datos!U18+Datos!AM18))/(Datos!U18+Datos!AM18))
     ),IF(D_I="SI",(Datos!K18-Datos!U18)/Datos!U18,(Datos!K18+Datos!AE18-(Datos!U18+Datos!AM18))/(Datos!U18+Datos!AM18))," - ")</f>
        <v>4.6391752577319589E-2</v>
      </c>
      <c r="G18" s="394">
        <f>IF(ISNUMBER(
   IF(D_I="SI",(Datos!L18-Datos!V18)/Datos!V18,(Datos!L18+Datos!AF18-(Datos!V18+Datos!AN18))/(Datos!V18+Datos!AN18))
     ),IF(D_I="SI",(Datos!L18-Datos!V18)/Datos!V18,(Datos!L18+Datos!AF18-(Datos!V18+Datos!AN18))/(Datos!V18+Datos!AN18))," - ")</f>
        <v>8.8888888888888892E-2</v>
      </c>
      <c r="H18" s="244">
        <f>IF(ISNUMBER((Datos!M18-Datos!W18)/Datos!W18),(Datos!M18-Datos!W18)/Datos!W18," - ")</f>
        <v>0.37037037037037035</v>
      </c>
      <c r="I18" s="395">
        <f>IF(ISNUMBER((Tasas!C18-Datos!BE18)/Datos!BE18),(Tasas!C18-Datos!BE18)/Datos!BE18," - ")</f>
        <v>4.0613026819923258E-2</v>
      </c>
      <c r="J18" s="394">
        <f>IF(ISNUMBER((Tasas!D18-Datos!BF18)/Datos!BF18),(Tasas!D18-Datos!BF18)/Datos!BF18," - ")</f>
        <v>0.30961503375296473</v>
      </c>
      <c r="K18" s="396">
        <f>IF(ISNUMBER((Tasas!E18-Datos!BG18)/Datos!BG18),(Tasas!E18-Datos!BG18)/Datos!BG18," - ")</f>
        <v>2.1808904616904004E-2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f>IF(ISNUMBER((Datos!I20-Datos!S20)/Datos!S20),(Datos!I20-Datos!S20)/Datos!S20," - ")</f>
        <v>0.12616822429906541</v>
      </c>
      <c r="E20" s="393">
        <f>IF(ISNUMBER((Datos!J20-Datos!T20)/Datos!T20),(Datos!J20-Datos!T20)/Datos!T20," - ")</f>
        <v>-0.15094339622641509</v>
      </c>
      <c r="F20" s="393">
        <f>IF(ISNUMBER((Datos!K20-Datos!U20)/Datos!U20),(Datos!K20-Datos!U20)/Datos!U20," - ")</f>
        <v>-0.13526570048309178</v>
      </c>
      <c r="G20" s="394">
        <f>IF(ISNUMBER((Datos!L20-Datos!V20)/Datos!V20),(Datos!L20-Datos!V20)/Datos!V20," - ")</f>
        <v>0.1050228310502283</v>
      </c>
      <c r="H20" s="244" t="str">
        <f>IF(ISNUMBER((Datos!M20-Datos!W20)/Datos!W20),(Datos!M20-Datos!W20)/Datos!W20," - ")</f>
        <v xml:space="preserve"> - </v>
      </c>
      <c r="I20" s="395">
        <f>IF(ISNUMBER((Tasas!C20-Datos!BE20)/Datos!BE20),(Tasas!C20-Datos!BE20)/Datos!BE20," - ")</f>
        <v>0.27787556439886735</v>
      </c>
      <c r="J20" s="394" t="str">
        <f>IF(ISNUMBER((Tasas!D20-Datos!BF20)/Datos!BF20),(Tasas!D20-Datos!BF20)/Datos!BF20," - ")</f>
        <v xml:space="preserve"> - </v>
      </c>
      <c r="K20" s="396">
        <f>IF(ISNUMBER((Tasas!E20-Datos!BG20)/Datos!BG20),(Tasas!E20-Datos!BG20)/Datos!BG20," - ")</f>
        <v>0.14285152254307981</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0.25437112239142695</v>
      </c>
      <c r="E23" s="399">
        <f>IF(ISNUMBER(
   IF(D_I="SI",(Datos!J23-Datos!T23)/Datos!T23,(Datos!J23+Datos!AD23-(Datos!T23+Datos!AL23))/(Datos!T23+Datos!AL23))
     ),IF(D_I="SI",(Datos!J23-Datos!T23)/Datos!T23,(Datos!J23+Datos!AD23-(Datos!T23+Datos!AL23))/(Datos!T23+Datos!AL23))," - ")</f>
        <v>-5.5290753098188754E-2</v>
      </c>
      <c r="F23" s="399">
        <f>IF(ISNUMBER(
   IF(D_I="SI",(Datos!K23-Datos!U23)/Datos!U23,(Datos!K23+Datos!AE23-(Datos!U23+Datos!AM23))/(Datos!U23+Datos!AM23))
     ),IF(D_I="SI",(Datos!K23-Datos!U23)/Datos!U23,(Datos!K23+Datos!AE23-(Datos!U23+Datos!AM23))/(Datos!U23+Datos!AM23))," - ")</f>
        <v>-8.3473389355742292E-2</v>
      </c>
      <c r="G23" s="400">
        <f>IF(ISNUMBER(
   IF(D_I="SI",(Datos!L23-Datos!V23)/Datos!V23,(Datos!L23+Datos!AF23-(Datos!V23+Datos!AN23))/(Datos!V23+Datos!AN23))
     ),IF(D_I="SI",(Datos!L23-Datos!V23)/Datos!V23,(Datos!L23+Datos!AF23-(Datos!V23+Datos!AN23))/(Datos!V23+Datos!AN23))," - ")</f>
        <v>0.20182166826462128</v>
      </c>
      <c r="H23" s="401">
        <f>IF(ISNUMBER((Datos!M23-Datos!W23)/Datos!W23),(Datos!M23-Datos!W23)/Datos!W23," - ")</f>
        <v>7.1684587813620072E-3</v>
      </c>
      <c r="I23" s="402">
        <f>IF(ISNUMBER((Tasas!C23-Datos!BE23)/Datos!BE23),(Tasas!C23-Datos!BE23)/Datos!BE23," - ")</f>
        <v>0.3112785316945898</v>
      </c>
      <c r="J23" s="400">
        <f>IF(ISNUMBER((Tasas!D23-Datos!BF23)/Datos!BF23),(Tasas!D23-Datos!BF23)/Datos!BF23," - ")</f>
        <v>9.8897126482109535E-2</v>
      </c>
      <c r="K23" s="403">
        <f>IF(ISNUMBER((Tasas!E23-Datos!BG23)/Datos!BG23),(Tasas!E23-Datos!BG23)/Datos!BG23," - ")</f>
        <v>0.18549852549109774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0.14593859308200544</v>
      </c>
      <c r="E31" s="409">
        <f>IF(ISNUMBER(
   IF(J_V="SI",(Datos!J31-Datos!T31)/Datos!T31,(Datos!J31+Datos!Z31-(Datos!T31+Datos!AH31))/(Datos!T31+Datos!AH31))
     ),IF(J_V="SI",(Datos!J31-Datos!T31)/Datos!T31,(Datos!J31+Datos!Z31-(Datos!T31+Datos!AH31))/(Datos!T31+Datos!AH31))," - ")</f>
        <v>7.9989440337909182E-2</v>
      </c>
      <c r="F31" s="409">
        <f>IF(ISNUMBER(
   IF(J_V="SI",(Datos!K31-Datos!U31)/Datos!U31,(Datos!K31+Datos!AA31-(Datos!U31+Datos!AI31))/(Datos!U31+Datos!AI31))
     ),IF(J_V="SI",(Datos!K31-Datos!U31)/Datos!U31,(Datos!K31+Datos!AA31-(Datos!U31+Datos!AI31))/(Datos!U31+Datos!AI31))," - ")</f>
        <v>1.1168125565952309E-2</v>
      </c>
      <c r="G31" s="410">
        <f>IF(ISNUMBER(
   IF(J_V="SI",(Datos!L31-Datos!V31)/Datos!V31,(Datos!L31+Datos!AB31-(Datos!V31+Datos!AJ31))/(Datos!V31+Datos!AJ31))
     ),IF(J_V="SI",(Datos!L31-Datos!V31)/Datos!V31,(Datos!L31+Datos!AB31-(Datos!V31+Datos!AJ31))/(Datos!V31+Datos!AJ31))," - ")</f>
        <v>0.16687422166874222</v>
      </c>
      <c r="H31" s="411">
        <f>IF(ISNUMBER((Datos!M31-Datos!W31)/Datos!W31),(Datos!M31-Datos!W31)/Datos!W31," - ")</f>
        <v>3.6127167630057806E-2</v>
      </c>
      <c r="I31" s="408">
        <f>IF(ISNUMBER((Tasas!C31-Datos!BE31)/Datos!BE31),(Tasas!C31-Datos!BE31)/Datos!BE31," - ")</f>
        <v>0.15398635713090833</v>
      </c>
      <c r="J31" s="409">
        <f>IF(ISNUMBER((Tasas!D31-Datos!BF31)/Datos!BF31),(Tasas!D31-Datos!BF31)/Datos!BF31," - ")</f>
        <v>-0.11142744922006516</v>
      </c>
      <c r="K31" s="410">
        <f>IF(ISNUMBER((Tasas!E31-Datos!BG31)/Datos!BG31),(Tasas!E31-Datos!BG31)/Datos!BG31," - ")</f>
        <v>0.10562847281390224</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0.10294061982781774</v>
      </c>
      <c r="E33" s="303">
        <f t="shared" si="1"/>
        <v>0.14881645632900187</v>
      </c>
      <c r="F33" s="303">
        <f t="shared" si="1"/>
        <v>0.19077828633539543</v>
      </c>
      <c r="G33" s="304">
        <f t="shared" si="1"/>
        <v>0.14352562871883043</v>
      </c>
      <c r="H33" s="310">
        <f t="shared" si="1"/>
        <v>0.34514461117223627</v>
      </c>
      <c r="I33" s="302">
        <f t="shared" si="1"/>
        <v>0.59852096283753442</v>
      </c>
      <c r="J33" s="303">
        <f t="shared" si="1"/>
        <v>0.30733660138103863</v>
      </c>
      <c r="K33" s="304">
        <f t="shared" si="1"/>
        <v>0.43569604754446661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hWm4JFIQUKS4Tn6jKTILydbSOBQlKmiixj/NwZrP8zgywIrpbpE5pmyQsxTbhdI6czAi4cYl/kG3BabGBJ0jA==" saltValue="jj1BbZTJUAM4QX1A61X2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